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1.xml" ContentType="application/vnd.openxmlformats-officedocument.drawing+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0"/>
  <workbookPr codeName="ThisWorkbook"/>
  <mc:AlternateContent xmlns:mc="http://schemas.openxmlformats.org/markup-compatibility/2006">
    <mc:Choice Requires="x15">
      <x15ac:absPath xmlns:x15ac="http://schemas.microsoft.com/office/spreadsheetml/2010/11/ac" url="https://queensuca.sharepoint.com/teams/GROUP-MITeam-MRS-NSERC-Admin/Shared Documents/MRS-AdminStaff/_MRS_FILES_ADMIN/Finance/Templates/GenericSOA/"/>
    </mc:Choice>
  </mc:AlternateContent>
  <xr:revisionPtr revIDLastSave="64" documentId="8_{C8261F5D-D401-B443-87AE-BB3276BE401B}" xr6:coauthVersionLast="47" xr6:coauthVersionMax="47" xr10:uidLastSave="{D661C0AF-FC44-9A43-A81C-68118634AF43}"/>
  <bookViews>
    <workbookView xWindow="-35480" yWindow="-1140" windowWidth="30240" windowHeight="17640" activeTab="6" xr2:uid="{8C1EBE24-AB0F-4D29-9B9E-EFED40F61C46}"/>
  </bookViews>
  <sheets>
    <sheet name="Dropdown" sheetId="28" state="hidden" r:id="rId1"/>
    <sheet name="Template" sheetId="27" state="hidden" r:id="rId2"/>
    <sheet name="Instructions" sheetId="5" r:id="rId3"/>
    <sheet name="Summary - Graphs" sheetId="7" state="hidden" r:id="rId4"/>
    <sheet name="Summary - All Years" sheetId="6" state="hidden" r:id="rId5"/>
    <sheet name="Start" sheetId="387" state="hidden" r:id="rId6"/>
    <sheet name="YY-YY Q#" sheetId="772" r:id="rId7"/>
    <sheet name="Stop" sheetId="241" state="hidden" r:id="rId8"/>
  </sheets>
  <definedNames>
    <definedName name="Indices2Class" localSheetId="6">_xlfn.LAMBDA(_xlpm.x,_xlpm.y,_xlfn.XLOOKUP(_xlpm.x,InstituteTable[Institute],InstituteTable[First Index],,0,1) &amp; _xlfn.XLOOKUP(_xlpm.y,ProjectTable[Project],ProjectTable[Second Index],0,1))</definedName>
    <definedName name="Indices2Class">_xlfn.LAMBDA(_xlpm.x,_xlpm.y,_xlfn.XLOOKUP(_xlpm.x,InstituteTable[Institute],InstituteTable[First Index],,0,1) &amp; _xlfn.XLOOKUP(_xlpm.y,ProjectTable[Project],ProjectTable[Second Index],"XX",1))</definedName>
    <definedName name="Partner_ICR_Rate">0.17</definedName>
    <definedName name="_xlnm.Print_Area" localSheetId="4">'Summary - All Years'!$B$1:$J$76</definedName>
    <definedName name="_xlnm.Print_Area" localSheetId="1">Template!$A$1:$O$161</definedName>
    <definedName name="_xlnm.Print_Area" localSheetId="6">'YY-YY Q#'!$B$1:$J$159</definedName>
    <definedName name="rolelist">INDEX((#REF!,#REF!,#REF!,#REF!,#REF!,#REF!,#REF!),,,MATCH(Template!$E1,Dropdown!#REF!,0))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9" i="6" l="1"/>
  <c r="H56" i="6"/>
  <c r="H55" i="6"/>
  <c r="H54" i="6"/>
  <c r="H53" i="6"/>
  <c r="H52" i="6"/>
  <c r="K49" i="6"/>
  <c r="J49" i="6"/>
  <c r="H48" i="6"/>
  <c r="H47" i="6"/>
  <c r="H46" i="6"/>
  <c r="H45" i="6"/>
  <c r="H44" i="6"/>
  <c r="H43" i="6"/>
  <c r="H42" i="6"/>
  <c r="H41" i="6"/>
  <c r="H40" i="6"/>
  <c r="H38" i="6"/>
  <c r="H37" i="6"/>
  <c r="H36" i="6"/>
  <c r="H35" i="6"/>
  <c r="G34" i="6"/>
  <c r="G32" i="6"/>
  <c r="G31" i="6"/>
  <c r="G30" i="6"/>
  <c r="F34" i="6"/>
  <c r="F32" i="6"/>
  <c r="F31" i="6"/>
  <c r="F30" i="6"/>
  <c r="F33" i="7"/>
  <c r="F32" i="7"/>
  <c r="F31" i="7"/>
  <c r="F30" i="7"/>
  <c r="F29" i="7"/>
  <c r="F28" i="7"/>
  <c r="F27" i="7"/>
  <c r="F26" i="7"/>
  <c r="F25" i="7"/>
  <c r="F24" i="7"/>
  <c r="F23" i="7"/>
  <c r="F22" i="7"/>
  <c r="F21" i="7"/>
  <c r="F20" i="7"/>
  <c r="F19" i="7"/>
  <c r="F18" i="7"/>
  <c r="F17" i="7"/>
  <c r="F16" i="7"/>
  <c r="F15" i="7"/>
  <c r="F14" i="7"/>
  <c r="H3" i="6"/>
  <c r="D6" i="7"/>
  <c r="X154" i="772"/>
  <c r="Y153" i="772"/>
  <c r="W151" i="772"/>
  <c r="W150" i="772"/>
  <c r="W149" i="772"/>
  <c r="W148" i="772"/>
  <c r="W147" i="772"/>
  <c r="Z144" i="772"/>
  <c r="Z153" i="772" s="1"/>
  <c r="Y144" i="772"/>
  <c r="W143" i="772"/>
  <c r="W142" i="772"/>
  <c r="H142" i="772"/>
  <c r="W141" i="772"/>
  <c r="H141" i="772"/>
  <c r="W140" i="772"/>
  <c r="H140" i="772"/>
  <c r="W139" i="772"/>
  <c r="H139" i="772"/>
  <c r="W138" i="772"/>
  <c r="H138" i="772"/>
  <c r="W137" i="772"/>
  <c r="W136" i="772"/>
  <c r="W135" i="772"/>
  <c r="K135" i="772"/>
  <c r="K144" i="772" s="1"/>
  <c r="J135" i="772"/>
  <c r="J144" i="772" s="1"/>
  <c r="W134" i="772"/>
  <c r="H134" i="772"/>
  <c r="W133" i="772"/>
  <c r="H133" i="772"/>
  <c r="W132" i="772"/>
  <c r="H132" i="772"/>
  <c r="W131" i="772"/>
  <c r="H131" i="772"/>
  <c r="W130" i="772"/>
  <c r="H130" i="772"/>
  <c r="W128" i="772"/>
  <c r="H128" i="772"/>
  <c r="W127" i="772"/>
  <c r="H127" i="772"/>
  <c r="W126" i="772"/>
  <c r="H126" i="772"/>
  <c r="W124" i="772"/>
  <c r="H124" i="772"/>
  <c r="W123" i="772"/>
  <c r="H123" i="772"/>
  <c r="W122" i="772"/>
  <c r="H122" i="772"/>
  <c r="W121" i="772"/>
  <c r="H121" i="772"/>
  <c r="V120" i="772"/>
  <c r="U120" i="772"/>
  <c r="W120" i="772" s="1"/>
  <c r="G120" i="772"/>
  <c r="F120" i="772"/>
  <c r="H120" i="772" s="1"/>
  <c r="V118" i="772"/>
  <c r="U118" i="772"/>
  <c r="G118" i="772"/>
  <c r="F118" i="772"/>
  <c r="H118" i="772" s="1"/>
  <c r="V117" i="772"/>
  <c r="U117" i="772"/>
  <c r="W117" i="772" s="1"/>
  <c r="G117" i="772"/>
  <c r="F117" i="772"/>
  <c r="V116" i="772"/>
  <c r="W116" i="772" s="1"/>
  <c r="U116" i="772"/>
  <c r="G116" i="772"/>
  <c r="F116" i="772"/>
  <c r="H116" i="772" s="1"/>
  <c r="W97" i="772"/>
  <c r="V97" i="772"/>
  <c r="U97" i="772" a="1"/>
  <c r="U97" i="772" s="1"/>
  <c r="T97" i="772"/>
  <c r="S97" i="772"/>
  <c r="R97" i="772"/>
  <c r="Q97" i="772"/>
  <c r="W96" i="772"/>
  <c r="V96" i="772"/>
  <c r="U96" i="772" a="1"/>
  <c r="U96" i="772" s="1"/>
  <c r="T96" i="772"/>
  <c r="S96" i="772"/>
  <c r="R96" i="772"/>
  <c r="Q96" i="772"/>
  <c r="W95" i="772"/>
  <c r="V95" i="772"/>
  <c r="U95" i="772" a="1"/>
  <c r="U95" i="772" s="1"/>
  <c r="T95" i="772"/>
  <c r="S95" i="772"/>
  <c r="R95" i="772"/>
  <c r="Q95" i="772"/>
  <c r="W94" i="772"/>
  <c r="V94" i="772"/>
  <c r="U94" i="772" a="1"/>
  <c r="U94" i="772" s="1"/>
  <c r="T94" i="772"/>
  <c r="S94" i="772"/>
  <c r="R94" i="772"/>
  <c r="Q94" i="772"/>
  <c r="W93" i="772"/>
  <c r="V93" i="772"/>
  <c r="U93" i="772" a="1"/>
  <c r="U93" i="772" s="1"/>
  <c r="T93" i="772"/>
  <c r="S93" i="772"/>
  <c r="R93" i="772"/>
  <c r="Q93" i="772"/>
  <c r="AH86" i="772"/>
  <c r="AF86" i="772"/>
  <c r="W86" i="772"/>
  <c r="V86" i="772"/>
  <c r="U86" i="772" a="1"/>
  <c r="U86" i="772" s="1"/>
  <c r="T86" i="772"/>
  <c r="S86" i="772"/>
  <c r="R86" i="772"/>
  <c r="Q86" i="772"/>
  <c r="J86" i="772"/>
  <c r="AH85" i="772"/>
  <c r="AF85" i="772"/>
  <c r="AD85" i="772" s="1" a="1"/>
  <c r="AD85" i="772" s="1"/>
  <c r="W85" i="772"/>
  <c r="V85" i="772"/>
  <c r="U85" i="772" a="1"/>
  <c r="U85" i="772" s="1"/>
  <c r="T85" i="772"/>
  <c r="S85" i="772"/>
  <c r="R85" i="772"/>
  <c r="Q85" i="772"/>
  <c r="J85" i="772"/>
  <c r="AH84" i="772"/>
  <c r="AF84" i="772"/>
  <c r="AD84" i="772" a="1"/>
  <c r="AD84" i="772" s="1"/>
  <c r="W84" i="772"/>
  <c r="V84" i="772"/>
  <c r="U84" i="772" a="1"/>
  <c r="U84" i="772" s="1"/>
  <c r="T84" i="772"/>
  <c r="S84" i="772"/>
  <c r="R84" i="772"/>
  <c r="Q84" i="772"/>
  <c r="J84" i="772"/>
  <c r="AH83" i="772"/>
  <c r="AC83" i="772"/>
  <c r="W83" i="772"/>
  <c r="V83" i="772"/>
  <c r="U83" i="772" a="1"/>
  <c r="U83" i="772" s="1"/>
  <c r="T83" i="772"/>
  <c r="S83" i="772"/>
  <c r="R83" i="772"/>
  <c r="Q83" i="772"/>
  <c r="J83" i="772"/>
  <c r="AF83" i="772" s="1"/>
  <c r="AD83" i="772" s="1" a="1"/>
  <c r="AD83" i="772" s="1"/>
  <c r="AH82" i="772"/>
  <c r="W82" i="772"/>
  <c r="V82" i="772"/>
  <c r="U82" i="772" a="1"/>
  <c r="U82" i="772" s="1"/>
  <c r="T82" i="772"/>
  <c r="S82" i="772"/>
  <c r="R82" i="772"/>
  <c r="Q82" i="772"/>
  <c r="J82" i="772"/>
  <c r="AF82" i="772" s="1"/>
  <c r="AH81" i="772"/>
  <c r="AF81" i="772"/>
  <c r="AC81" i="772" s="1"/>
  <c r="W81" i="772"/>
  <c r="V81" i="772"/>
  <c r="U81" i="772" a="1"/>
  <c r="U81" i="772" s="1"/>
  <c r="T81" i="772"/>
  <c r="S81" i="772"/>
  <c r="R81" i="772"/>
  <c r="Q81" i="772"/>
  <c r="J81" i="772"/>
  <c r="AH80" i="772"/>
  <c r="AF80" i="772"/>
  <c r="AD80" i="772" s="1" a="1"/>
  <c r="AD80" i="772" s="1"/>
  <c r="W80" i="772"/>
  <c r="V80" i="772"/>
  <c r="U80" i="772" a="1"/>
  <c r="U80" i="772" s="1"/>
  <c r="T80" i="772"/>
  <c r="S80" i="772"/>
  <c r="R80" i="772"/>
  <c r="Q80" i="772"/>
  <c r="J80" i="772"/>
  <c r="AH79" i="772"/>
  <c r="AF79" i="772"/>
  <c r="AD79" i="772" a="1"/>
  <c r="AD79" i="772" s="1"/>
  <c r="W79" i="772"/>
  <c r="V79" i="772"/>
  <c r="U79" i="772" a="1"/>
  <c r="U79" i="772" s="1"/>
  <c r="T79" i="772"/>
  <c r="S79" i="772"/>
  <c r="R79" i="772"/>
  <c r="Q79" i="772"/>
  <c r="J79" i="772"/>
  <c r="AH78" i="772"/>
  <c r="W78" i="772"/>
  <c r="V78" i="772"/>
  <c r="U78" i="772" a="1"/>
  <c r="U78" i="772" s="1"/>
  <c r="T78" i="772"/>
  <c r="S78" i="772"/>
  <c r="R78" i="772"/>
  <c r="Q78" i="772"/>
  <c r="J78" i="772"/>
  <c r="AF78" i="772" s="1"/>
  <c r="AD78" i="772" s="1" a="1"/>
  <c r="AD78" i="772" s="1"/>
  <c r="AH77" i="772"/>
  <c r="W77" i="772"/>
  <c r="V77" i="772"/>
  <c r="U77" i="772" a="1"/>
  <c r="U77" i="772" s="1"/>
  <c r="T77" i="772"/>
  <c r="S77" i="772"/>
  <c r="R77" i="772"/>
  <c r="Q77" i="772"/>
  <c r="J77" i="772"/>
  <c r="AF77" i="772" s="1"/>
  <c r="AH76" i="772"/>
  <c r="AF76" i="772"/>
  <c r="AB76" i="772" s="1"/>
  <c r="AD76" i="772" a="1"/>
  <c r="AD76" i="772" s="1"/>
  <c r="W76" i="772"/>
  <c r="V76" i="772"/>
  <c r="U76" i="772" a="1"/>
  <c r="U76" i="772" s="1"/>
  <c r="T76" i="772"/>
  <c r="S76" i="772"/>
  <c r="R76" i="772"/>
  <c r="Q76" i="772"/>
  <c r="J76" i="772"/>
  <c r="AH75" i="772"/>
  <c r="W75" i="772"/>
  <c r="V75" i="772"/>
  <c r="U75" i="772" a="1"/>
  <c r="U75" i="772" s="1"/>
  <c r="T75" i="772"/>
  <c r="S75" i="772"/>
  <c r="R75" i="772"/>
  <c r="Q75" i="772"/>
  <c r="J75" i="772"/>
  <c r="AF75" i="772" s="1"/>
  <c r="AD75" i="772" s="1" a="1"/>
  <c r="AD75" i="772" s="1"/>
  <c r="AH74" i="772"/>
  <c r="W74" i="772"/>
  <c r="V74" i="772"/>
  <c r="U74" i="772" a="1"/>
  <c r="U74" i="772" s="1"/>
  <c r="T74" i="772"/>
  <c r="S74" i="772"/>
  <c r="R74" i="772"/>
  <c r="Q74" i="772"/>
  <c r="J74" i="772"/>
  <c r="AF74" i="772" s="1"/>
  <c r="AH73" i="772"/>
  <c r="W73" i="772"/>
  <c r="V73" i="772"/>
  <c r="U73" i="772" a="1"/>
  <c r="U73" i="772" s="1"/>
  <c r="T73" i="772"/>
  <c r="S73" i="772"/>
  <c r="R73" i="772"/>
  <c r="Q73" i="772"/>
  <c r="J73" i="772"/>
  <c r="AF73" i="772" s="1"/>
  <c r="AH72" i="772"/>
  <c r="W72" i="772"/>
  <c r="V72" i="772"/>
  <c r="U72" i="772" a="1"/>
  <c r="U72" i="772" s="1"/>
  <c r="T72" i="772"/>
  <c r="S72" i="772"/>
  <c r="R72" i="772"/>
  <c r="Q72" i="772"/>
  <c r="J72" i="772"/>
  <c r="AF72" i="772" s="1"/>
  <c r="W66" i="772"/>
  <c r="V66" i="772"/>
  <c r="U66" i="772" a="1"/>
  <c r="U66" i="772" s="1"/>
  <c r="T66" i="772"/>
  <c r="S66" i="772"/>
  <c r="R66" i="772"/>
  <c r="Q66" i="772"/>
  <c r="W65" i="772"/>
  <c r="V65" i="772"/>
  <c r="U65" i="772" a="1"/>
  <c r="U65" i="772" s="1"/>
  <c r="T65" i="772"/>
  <c r="S65" i="772"/>
  <c r="R65" i="772"/>
  <c r="Q65" i="772"/>
  <c r="W64" i="772"/>
  <c r="V64" i="772"/>
  <c r="U64" i="772" a="1"/>
  <c r="U64" i="772" s="1"/>
  <c r="T64" i="772"/>
  <c r="S64" i="772"/>
  <c r="R64" i="772"/>
  <c r="Q64" i="772"/>
  <c r="W63" i="772"/>
  <c r="V63" i="772"/>
  <c r="U63" i="772" a="1"/>
  <c r="U63" i="772" s="1"/>
  <c r="T63" i="772"/>
  <c r="S63" i="772"/>
  <c r="R63" i="772"/>
  <c r="Q63" i="772"/>
  <c r="W62" i="772"/>
  <c r="V62" i="772"/>
  <c r="U62" i="772" a="1"/>
  <c r="U62" i="772" s="1"/>
  <c r="T62" i="772"/>
  <c r="S62" i="772"/>
  <c r="R62" i="772"/>
  <c r="Q62" i="772"/>
  <c r="W61" i="772"/>
  <c r="V61" i="772"/>
  <c r="U61" i="772" a="1"/>
  <c r="U61" i="772" s="1"/>
  <c r="T61" i="772"/>
  <c r="S61" i="772"/>
  <c r="R61" i="772"/>
  <c r="Q61" i="772"/>
  <c r="W60" i="772"/>
  <c r="V60" i="772"/>
  <c r="U60" i="772" a="1"/>
  <c r="U60" i="772" s="1"/>
  <c r="T60" i="772"/>
  <c r="S60" i="772"/>
  <c r="R60" i="772"/>
  <c r="Q60" i="772"/>
  <c r="W59" i="772"/>
  <c r="V59" i="772"/>
  <c r="U59" i="772" a="1"/>
  <c r="U59" i="772" s="1"/>
  <c r="T59" i="772"/>
  <c r="S59" i="772"/>
  <c r="R59" i="772"/>
  <c r="Q59" i="772"/>
  <c r="W58" i="772"/>
  <c r="V58" i="772"/>
  <c r="U58" i="772" a="1"/>
  <c r="U58" i="772" s="1"/>
  <c r="T58" i="772"/>
  <c r="S58" i="772"/>
  <c r="R58" i="772"/>
  <c r="Q58" i="772"/>
  <c r="AH54" i="772"/>
  <c r="W54" i="772"/>
  <c r="V54" i="772"/>
  <c r="U54" i="772" a="1"/>
  <c r="U54" i="772" s="1"/>
  <c r="T54" i="772"/>
  <c r="S54" i="772"/>
  <c r="R54" i="772"/>
  <c r="Q54" i="772"/>
  <c r="J54" i="772"/>
  <c r="AD54" i="772" s="1" a="1"/>
  <c r="AD54" i="772" s="1"/>
  <c r="AH53" i="772"/>
  <c r="AD53" i="772" a="1"/>
  <c r="AD53" i="772" s="1"/>
  <c r="W53" i="772"/>
  <c r="V53" i="772"/>
  <c r="U53" i="772" a="1"/>
  <c r="U53" i="772" s="1"/>
  <c r="T53" i="772"/>
  <c r="S53" i="772"/>
  <c r="R53" i="772"/>
  <c r="Q53" i="772"/>
  <c r="J53" i="772"/>
  <c r="AF53" i="772" s="1"/>
  <c r="AH52" i="772"/>
  <c r="AF52" i="772"/>
  <c r="W52" i="772"/>
  <c r="V52" i="772"/>
  <c r="U52" i="772" a="1"/>
  <c r="U52" i="772" s="1"/>
  <c r="T52" i="772"/>
  <c r="S52" i="772"/>
  <c r="R52" i="772"/>
  <c r="Q52" i="772"/>
  <c r="J52" i="772"/>
  <c r="AD52" i="772" s="1" a="1"/>
  <c r="AD52" i="772" s="1"/>
  <c r="AH51" i="772"/>
  <c r="W51" i="772"/>
  <c r="V51" i="772"/>
  <c r="U51" i="772" a="1"/>
  <c r="U51" i="772" s="1"/>
  <c r="T51" i="772"/>
  <c r="S51" i="772"/>
  <c r="R51" i="772"/>
  <c r="Q51" i="772"/>
  <c r="J51" i="772"/>
  <c r="AD51" i="772" s="1" a="1"/>
  <c r="AD51" i="772" s="1"/>
  <c r="AH50" i="772"/>
  <c r="AF50" i="772"/>
  <c r="W50" i="772"/>
  <c r="V50" i="772"/>
  <c r="U50" i="772" a="1"/>
  <c r="U50" i="772" s="1"/>
  <c r="T50" i="772"/>
  <c r="S50" i="772"/>
  <c r="R50" i="772"/>
  <c r="Q50" i="772"/>
  <c r="J50" i="772"/>
  <c r="AD50" i="772" s="1" a="1"/>
  <c r="AD50" i="772" s="1"/>
  <c r="AH49" i="772"/>
  <c r="W49" i="772"/>
  <c r="V49" i="772"/>
  <c r="U49" i="772" a="1"/>
  <c r="U49" i="772" s="1"/>
  <c r="T49" i="772"/>
  <c r="S49" i="772"/>
  <c r="R49" i="772"/>
  <c r="Q49" i="772"/>
  <c r="J49" i="772"/>
  <c r="AD49" i="772" s="1" a="1"/>
  <c r="AD49" i="772" s="1"/>
  <c r="AH48" i="772"/>
  <c r="AF48" i="772"/>
  <c r="AD48" i="772" a="1"/>
  <c r="AD48" i="772" s="1"/>
  <c r="W48" i="772"/>
  <c r="V48" i="772"/>
  <c r="U48" i="772" a="1"/>
  <c r="U48" i="772" s="1"/>
  <c r="T48" i="772"/>
  <c r="S48" i="772"/>
  <c r="R48" i="772"/>
  <c r="Q48" i="772"/>
  <c r="J48" i="772"/>
  <c r="AH47" i="772"/>
  <c r="W47" i="772"/>
  <c r="V47" i="772"/>
  <c r="U47" i="772" a="1"/>
  <c r="U47" i="772" s="1"/>
  <c r="T47" i="772"/>
  <c r="S47" i="772"/>
  <c r="R47" i="772"/>
  <c r="Q47" i="772"/>
  <c r="J47" i="772"/>
  <c r="AH46" i="772"/>
  <c r="W46" i="772"/>
  <c r="V46" i="772"/>
  <c r="U46" i="772" a="1"/>
  <c r="U46" i="772" s="1"/>
  <c r="T46" i="772"/>
  <c r="S46" i="772"/>
  <c r="R46" i="772"/>
  <c r="Q46" i="772"/>
  <c r="J46" i="772"/>
  <c r="AF46" i="772" s="1"/>
  <c r="AH45" i="772"/>
  <c r="W45" i="772"/>
  <c r="V45" i="772"/>
  <c r="U45" i="772" a="1"/>
  <c r="U45" i="772" s="1"/>
  <c r="T45" i="772"/>
  <c r="S45" i="772"/>
  <c r="R45" i="772"/>
  <c r="Q45" i="772"/>
  <c r="J45" i="772"/>
  <c r="AF45" i="772" s="1"/>
  <c r="AH44" i="772"/>
  <c r="W44" i="772"/>
  <c r="V44" i="772"/>
  <c r="U44" i="772" a="1"/>
  <c r="U44" i="772" s="1"/>
  <c r="T44" i="772"/>
  <c r="S44" i="772"/>
  <c r="R44" i="772"/>
  <c r="Q44" i="772"/>
  <c r="J44" i="772"/>
  <c r="AD44" i="772" s="1" a="1"/>
  <c r="AD44" i="772" s="1"/>
  <c r="AH43" i="772"/>
  <c r="W43" i="772"/>
  <c r="V43" i="772"/>
  <c r="U43" i="772" a="1"/>
  <c r="U43" i="772" s="1"/>
  <c r="T43" i="772"/>
  <c r="S43" i="772"/>
  <c r="R43" i="772"/>
  <c r="Q43" i="772"/>
  <c r="J43" i="772"/>
  <c r="AD43" i="772" s="1" a="1"/>
  <c r="AD43" i="772" s="1"/>
  <c r="AH42" i="772"/>
  <c r="AF42" i="772"/>
  <c r="W42" i="772"/>
  <c r="V42" i="772"/>
  <c r="U42" i="772" a="1"/>
  <c r="U42" i="772" s="1"/>
  <c r="T42" i="772"/>
  <c r="S42" i="772"/>
  <c r="R42" i="772"/>
  <c r="Q42" i="772"/>
  <c r="J42" i="772"/>
  <c r="AD42" i="772" s="1" a="1"/>
  <c r="AD42" i="772" s="1"/>
  <c r="AH37" i="772"/>
  <c r="W37" i="772"/>
  <c r="V37" i="772"/>
  <c r="U37" i="772" a="1"/>
  <c r="U37" i="772" s="1"/>
  <c r="T37" i="772"/>
  <c r="S37" i="772"/>
  <c r="R37" i="772"/>
  <c r="Q37" i="772"/>
  <c r="J37" i="772"/>
  <c r="AD37" i="772" s="1" a="1"/>
  <c r="AD37" i="772" s="1"/>
  <c r="AH36" i="772"/>
  <c r="W36" i="772"/>
  <c r="V36" i="772"/>
  <c r="U36" i="772" a="1"/>
  <c r="U36" i="772" s="1"/>
  <c r="T36" i="772"/>
  <c r="S36" i="772"/>
  <c r="R36" i="772"/>
  <c r="Q36" i="772"/>
  <c r="J36" i="772"/>
  <c r="AD36" i="772" s="1" a="1"/>
  <c r="AD36" i="772" s="1"/>
  <c r="AH35" i="772"/>
  <c r="W35" i="772"/>
  <c r="V35" i="772"/>
  <c r="U35" i="772" a="1"/>
  <c r="U35" i="772" s="1"/>
  <c r="T35" i="772"/>
  <c r="S35" i="772"/>
  <c r="R35" i="772"/>
  <c r="Q35" i="772"/>
  <c r="J35" i="772"/>
  <c r="AD35" i="772" s="1" a="1"/>
  <c r="AD35" i="772" s="1"/>
  <c r="AH34" i="772"/>
  <c r="W34" i="772"/>
  <c r="V34" i="772"/>
  <c r="U34" i="772" a="1"/>
  <c r="U34" i="772" s="1"/>
  <c r="T34" i="772"/>
  <c r="S34" i="772"/>
  <c r="R34" i="772"/>
  <c r="Q34" i="772"/>
  <c r="J34" i="772"/>
  <c r="AD34" i="772" s="1" a="1"/>
  <c r="AD34" i="772" s="1"/>
  <c r="AH33" i="772"/>
  <c r="AF33" i="772"/>
  <c r="W33" i="772"/>
  <c r="V33" i="772"/>
  <c r="U33" i="772" a="1"/>
  <c r="U33" i="772" s="1"/>
  <c r="T33" i="772"/>
  <c r="S33" i="772"/>
  <c r="R33" i="772"/>
  <c r="Q33" i="772"/>
  <c r="J33" i="772"/>
  <c r="AD33" i="772" s="1" a="1"/>
  <c r="AD33" i="772" s="1"/>
  <c r="AH32" i="772"/>
  <c r="W32" i="772"/>
  <c r="V32" i="772"/>
  <c r="U32" i="772" a="1"/>
  <c r="U32" i="772" s="1"/>
  <c r="T32" i="772"/>
  <c r="S32" i="772"/>
  <c r="R32" i="772"/>
  <c r="Q32" i="772"/>
  <c r="J32" i="772"/>
  <c r="AD32" i="772" s="1" a="1"/>
  <c r="AD32" i="772" s="1"/>
  <c r="AH31" i="772"/>
  <c r="AF31" i="772"/>
  <c r="AD31" i="772" a="1"/>
  <c r="AD31" i="772" s="1"/>
  <c r="W31" i="772"/>
  <c r="V31" i="772"/>
  <c r="U31" i="772" a="1"/>
  <c r="U31" i="772" s="1"/>
  <c r="T31" i="772"/>
  <c r="S31" i="772"/>
  <c r="R31" i="772"/>
  <c r="Q31" i="772"/>
  <c r="J31" i="772"/>
  <c r="AH30" i="772"/>
  <c r="W30" i="772"/>
  <c r="V30" i="772"/>
  <c r="U30" i="772" a="1"/>
  <c r="U30" i="772" s="1"/>
  <c r="T30" i="772"/>
  <c r="S30" i="772"/>
  <c r="R30" i="772"/>
  <c r="Q30" i="772"/>
  <c r="J30" i="772"/>
  <c r="AD30" i="772" s="1" a="1"/>
  <c r="AD30" i="772" s="1"/>
  <c r="AH29" i="772"/>
  <c r="AF29" i="772"/>
  <c r="W29" i="772"/>
  <c r="V29" i="772"/>
  <c r="U29" i="772" a="1"/>
  <c r="U29" i="772" s="1"/>
  <c r="T29" i="772"/>
  <c r="S29" i="772"/>
  <c r="R29" i="772"/>
  <c r="Q29" i="772"/>
  <c r="J29" i="772"/>
  <c r="AD29" i="772" s="1" a="1"/>
  <c r="AD29" i="772" s="1"/>
  <c r="AH28" i="772"/>
  <c r="W28" i="772"/>
  <c r="V28" i="772"/>
  <c r="U28" i="772" a="1"/>
  <c r="U28" i="772" s="1"/>
  <c r="T28" i="772"/>
  <c r="S28" i="772"/>
  <c r="R28" i="772"/>
  <c r="Q28" i="772"/>
  <c r="J28" i="772"/>
  <c r="AD28" i="772" s="1" a="1"/>
  <c r="AD28" i="772" s="1"/>
  <c r="AH27" i="772"/>
  <c r="AF27" i="772"/>
  <c r="AD27" i="772" a="1"/>
  <c r="AD27" i="772" s="1"/>
  <c r="W27" i="772"/>
  <c r="V27" i="772"/>
  <c r="U27" i="772" a="1"/>
  <c r="U27" i="772" s="1"/>
  <c r="T27" i="772"/>
  <c r="S27" i="772"/>
  <c r="R27" i="772"/>
  <c r="Q27" i="772"/>
  <c r="J27" i="772"/>
  <c r="AH26" i="772"/>
  <c r="W26" i="772"/>
  <c r="V26" i="772"/>
  <c r="U26" i="772" a="1"/>
  <c r="U26" i="772" s="1"/>
  <c r="T26" i="772"/>
  <c r="S26" i="772"/>
  <c r="R26" i="772"/>
  <c r="Q26" i="772"/>
  <c r="J26" i="772"/>
  <c r="AD26" i="772" s="1" a="1"/>
  <c r="AD26" i="772" s="1"/>
  <c r="AH25" i="772"/>
  <c r="W25" i="772"/>
  <c r="V25" i="772"/>
  <c r="U25" i="772" a="1"/>
  <c r="U25" i="772" s="1"/>
  <c r="T25" i="772"/>
  <c r="S25" i="772"/>
  <c r="R25" i="772"/>
  <c r="Q25" i="772"/>
  <c r="J25" i="772"/>
  <c r="AD25" i="772" s="1" a="1"/>
  <c r="AD25" i="772" s="1"/>
  <c r="AH24" i="772"/>
  <c r="W24" i="772"/>
  <c r="V24" i="772"/>
  <c r="U24" i="772" a="1"/>
  <c r="U24" i="772" s="1"/>
  <c r="T24" i="772"/>
  <c r="S24" i="772"/>
  <c r="R24" i="772"/>
  <c r="Q24" i="772"/>
  <c r="J24" i="772"/>
  <c r="AF24" i="772" s="1"/>
  <c r="AH23" i="772"/>
  <c r="AF23" i="772"/>
  <c r="W23" i="772"/>
  <c r="V23" i="772"/>
  <c r="U23" i="772" a="1"/>
  <c r="U23" i="772" s="1"/>
  <c r="T23" i="772"/>
  <c r="S23" i="772"/>
  <c r="R23" i="772"/>
  <c r="Q23" i="772"/>
  <c r="J23" i="772"/>
  <c r="AD23" i="772" s="1" a="1"/>
  <c r="AD23" i="772" s="1"/>
  <c r="AH22" i="772"/>
  <c r="W22" i="772"/>
  <c r="V22" i="772"/>
  <c r="U22" i="772" a="1"/>
  <c r="U22" i="772" s="1"/>
  <c r="T22" i="772"/>
  <c r="S22" i="772"/>
  <c r="R22" i="772"/>
  <c r="Q22" i="772"/>
  <c r="J22" i="772"/>
  <c r="AF22" i="772" s="1"/>
  <c r="AH21" i="772"/>
  <c r="AF21" i="772"/>
  <c r="AD21" i="772" a="1"/>
  <c r="AD21" i="772" s="1"/>
  <c r="W21" i="772"/>
  <c r="V21" i="772"/>
  <c r="U21" i="772" a="1"/>
  <c r="U21" i="772" s="1"/>
  <c r="T21" i="772"/>
  <c r="S21" i="772"/>
  <c r="R21" i="772"/>
  <c r="Q21" i="772"/>
  <c r="J21" i="772"/>
  <c r="H132" i="27"/>
  <c r="Z144" i="27"/>
  <c r="Y144" i="27"/>
  <c r="AC74" i="772" l="1"/>
  <c r="AD74" i="772" a="1"/>
  <c r="AD74" i="772" s="1"/>
  <c r="AB74" i="772"/>
  <c r="AD73" i="772" a="1"/>
  <c r="AD73" i="772" s="1"/>
  <c r="AC73" i="772"/>
  <c r="AB73" i="772"/>
  <c r="AF32" i="772"/>
  <c r="H117" i="772"/>
  <c r="AF37" i="772"/>
  <c r="AF43" i="772"/>
  <c r="AB81" i="772"/>
  <c r="AD81" i="772" a="1"/>
  <c r="AD81" i="772" s="1"/>
  <c r="AC78" i="772"/>
  <c r="AD46" i="772" a="1"/>
  <c r="AD46" i="772" s="1"/>
  <c r="AF34" i="772"/>
  <c r="AB78" i="772"/>
  <c r="AF36" i="772"/>
  <c r="AF26" i="772"/>
  <c r="AD47" i="772" a="1"/>
  <c r="AD47" i="772" s="1"/>
  <c r="AF47" i="772"/>
  <c r="AF51" i="772"/>
  <c r="AB79" i="772"/>
  <c r="AC79" i="772"/>
  <c r="AD22" i="772" a="1"/>
  <c r="AD22" i="772" s="1"/>
  <c r="AD24" i="772" a="1"/>
  <c r="AD24" i="772" s="1"/>
  <c r="AD45" i="772" a="1"/>
  <c r="AD45" i="772" s="1"/>
  <c r="AB86" i="772"/>
  <c r="AD86" i="772" a="1"/>
  <c r="AD86" i="772" s="1"/>
  <c r="AC86" i="772"/>
  <c r="AB84" i="772"/>
  <c r="AC84" i="772"/>
  <c r="AF28" i="772"/>
  <c r="I143" i="772"/>
  <c r="W118" i="772"/>
  <c r="X152" i="772"/>
  <c r="AC76" i="772"/>
  <c r="H129" i="772"/>
  <c r="I135" i="772" s="1"/>
  <c r="I144" i="772" s="1"/>
  <c r="AD82" i="772" a="1"/>
  <c r="AD82" i="772" s="1"/>
  <c r="AC82" i="772"/>
  <c r="AB82" i="772"/>
  <c r="AD72" i="772" a="1"/>
  <c r="AD72" i="772" s="1"/>
  <c r="AC72" i="772"/>
  <c r="AB72" i="772"/>
  <c r="W129" i="772"/>
  <c r="X144" i="772" s="1"/>
  <c r="X153" i="772" s="1"/>
  <c r="AD77" i="772" a="1"/>
  <c r="AD77" i="772" s="1"/>
  <c r="AC77" i="772"/>
  <c r="AB77" i="772"/>
  <c r="AB75" i="772"/>
  <c r="AB80" i="772"/>
  <c r="AB85" i="772"/>
  <c r="AF25" i="772"/>
  <c r="AF30" i="772"/>
  <c r="AF35" i="772"/>
  <c r="AF44" i="772"/>
  <c r="AF49" i="772"/>
  <c r="AF54" i="772"/>
  <c r="AC75" i="772"/>
  <c r="AC80" i="772"/>
  <c r="AC85" i="772"/>
  <c r="AB83" i="772"/>
  <c r="Y58" i="6"/>
  <c r="Y67" i="6" s="1"/>
  <c r="X68" i="6"/>
  <c r="Z58" i="6"/>
  <c r="Z67" i="6" s="1"/>
  <c r="W65" i="6"/>
  <c r="W64" i="6"/>
  <c r="W63" i="6"/>
  <c r="W62" i="6"/>
  <c r="W61" i="6"/>
  <c r="W57" i="6"/>
  <c r="W56" i="6"/>
  <c r="W55" i="6"/>
  <c r="W54" i="6"/>
  <c r="W53" i="6"/>
  <c r="W52" i="6"/>
  <c r="W51" i="6"/>
  <c r="W50" i="6"/>
  <c r="W49" i="6"/>
  <c r="W48" i="6"/>
  <c r="W47" i="6"/>
  <c r="W46" i="6"/>
  <c r="W45" i="6"/>
  <c r="W44" i="6"/>
  <c r="W42" i="6"/>
  <c r="W41" i="6"/>
  <c r="W40" i="6"/>
  <c r="W38" i="6"/>
  <c r="W37" i="6"/>
  <c r="W36" i="6"/>
  <c r="W35" i="6"/>
  <c r="V34" i="6"/>
  <c r="U34" i="6"/>
  <c r="V32" i="6"/>
  <c r="U32" i="6"/>
  <c r="V31" i="6"/>
  <c r="U31" i="6"/>
  <c r="V30" i="6"/>
  <c r="U30" i="6"/>
  <c r="X154" i="27"/>
  <c r="W151" i="27"/>
  <c r="W150" i="27"/>
  <c r="W149" i="27"/>
  <c r="W148" i="27"/>
  <c r="W147" i="27"/>
  <c r="W143" i="27"/>
  <c r="W142" i="27"/>
  <c r="W141" i="27"/>
  <c r="W140" i="27"/>
  <c r="W139" i="27"/>
  <c r="W138" i="27"/>
  <c r="W137" i="27"/>
  <c r="W136" i="27"/>
  <c r="W135" i="27"/>
  <c r="W134" i="27"/>
  <c r="W133" i="27"/>
  <c r="W132" i="27"/>
  <c r="W131" i="27"/>
  <c r="W130" i="27"/>
  <c r="W128" i="27"/>
  <c r="W127" i="27"/>
  <c r="H127" i="27"/>
  <c r="W126" i="27"/>
  <c r="W124" i="27"/>
  <c r="W123" i="27"/>
  <c r="W122" i="27"/>
  <c r="H122" i="27"/>
  <c r="W121" i="27"/>
  <c r="V120" i="27"/>
  <c r="G120" i="27"/>
  <c r="U120" i="27"/>
  <c r="F120" i="27"/>
  <c r="V118" i="27"/>
  <c r="V117" i="27"/>
  <c r="V116" i="27"/>
  <c r="G116" i="27"/>
  <c r="U118" i="27"/>
  <c r="U117" i="27"/>
  <c r="U116" i="27"/>
  <c r="F116" i="27"/>
  <c r="Z153" i="27"/>
  <c r="Y153" i="27"/>
  <c r="H133" i="27"/>
  <c r="H134" i="27"/>
  <c r="H131" i="27"/>
  <c r="W86" i="27"/>
  <c r="W85" i="27"/>
  <c r="W84" i="27"/>
  <c r="W83" i="27"/>
  <c r="W82" i="27"/>
  <c r="W81" i="27"/>
  <c r="W80" i="27"/>
  <c r="W79" i="27"/>
  <c r="W78" i="27"/>
  <c r="W77" i="27"/>
  <c r="W76" i="27"/>
  <c r="W75" i="27"/>
  <c r="W74" i="27"/>
  <c r="W73" i="27"/>
  <c r="W72" i="27"/>
  <c r="U86" i="27" a="1"/>
  <c r="U86" i="27" s="1"/>
  <c r="U85" i="27" a="1"/>
  <c r="U85" i="27" s="1"/>
  <c r="U84" i="27" a="1"/>
  <c r="U84" i="27" s="1"/>
  <c r="U83" i="27" a="1"/>
  <c r="U83" i="27" s="1"/>
  <c r="U82" i="27" a="1"/>
  <c r="U82" i="27" s="1"/>
  <c r="U81" i="27" a="1"/>
  <c r="U81" i="27" s="1"/>
  <c r="U80" i="27" a="1"/>
  <c r="U80" i="27" s="1"/>
  <c r="U79" i="27" a="1"/>
  <c r="U79" i="27" s="1"/>
  <c r="U78" i="27" a="1"/>
  <c r="U78" i="27" s="1"/>
  <c r="U77" i="27" a="1"/>
  <c r="U77" i="27" s="1"/>
  <c r="U76" i="27" a="1"/>
  <c r="U76" i="27" s="1"/>
  <c r="U75" i="27" a="1"/>
  <c r="U75" i="27" s="1"/>
  <c r="U74" i="27" a="1"/>
  <c r="U74" i="27" s="1"/>
  <c r="U73" i="27" a="1"/>
  <c r="U73" i="27" s="1"/>
  <c r="U72" i="27" a="1"/>
  <c r="U72" i="27" s="1"/>
  <c r="X66" i="6" l="1"/>
  <c r="W69" i="6" s="1"/>
  <c r="W31" i="6"/>
  <c r="W32" i="6"/>
  <c r="W30" i="6"/>
  <c r="W34" i="6"/>
  <c r="X152" i="27"/>
  <c r="W118" i="27"/>
  <c r="W116" i="27"/>
  <c r="W120" i="27"/>
  <c r="W117" i="27"/>
  <c r="W43" i="6" l="1"/>
  <c r="W129" i="27"/>
  <c r="X144" i="27" s="1"/>
  <c r="X153" i="27" s="1"/>
  <c r="X58" i="6" l="1"/>
  <c r="X67" i="6" s="1"/>
  <c r="X69" i="6" s="1"/>
  <c r="J86" i="27"/>
  <c r="AF86" i="27" s="1"/>
  <c r="J85" i="27"/>
  <c r="AF85" i="27" s="1"/>
  <c r="J84" i="27"/>
  <c r="AF84" i="27" s="1"/>
  <c r="J83" i="27"/>
  <c r="AF83" i="27" s="1"/>
  <c r="J82" i="27"/>
  <c r="AF82" i="27" s="1"/>
  <c r="J81" i="27"/>
  <c r="AF81" i="27" s="1"/>
  <c r="J80" i="27"/>
  <c r="AF80" i="27" s="1"/>
  <c r="J79" i="27"/>
  <c r="AF79" i="27" s="1"/>
  <c r="J78" i="27"/>
  <c r="AF78" i="27" s="1"/>
  <c r="J77" i="27"/>
  <c r="AF77" i="27" s="1"/>
  <c r="J76" i="27"/>
  <c r="AF76" i="27" s="1"/>
  <c r="J75" i="27"/>
  <c r="AF75" i="27" s="1"/>
  <c r="J74" i="27"/>
  <c r="AF74" i="27" s="1"/>
  <c r="J73" i="27"/>
  <c r="AF73" i="27" s="1"/>
  <c r="J72" i="27"/>
  <c r="AF72" i="27" s="1"/>
  <c r="V86" i="27"/>
  <c r="R86" i="27"/>
  <c r="Q86" i="27"/>
  <c r="V85" i="27"/>
  <c r="R85" i="27"/>
  <c r="Q85" i="27"/>
  <c r="V84" i="27"/>
  <c r="R84" i="27"/>
  <c r="Q84" i="27"/>
  <c r="V83" i="27"/>
  <c r="R83" i="27"/>
  <c r="Q83" i="27"/>
  <c r="V82" i="27"/>
  <c r="R82" i="27"/>
  <c r="Q82" i="27"/>
  <c r="V81" i="27"/>
  <c r="R81" i="27"/>
  <c r="Q81" i="27"/>
  <c r="V80" i="27"/>
  <c r="R80" i="27"/>
  <c r="Q80" i="27"/>
  <c r="V79" i="27"/>
  <c r="R79" i="27"/>
  <c r="Q79" i="27"/>
  <c r="V78" i="27"/>
  <c r="R78" i="27"/>
  <c r="Q78" i="27"/>
  <c r="V77" i="27"/>
  <c r="R77" i="27"/>
  <c r="Q77" i="27"/>
  <c r="V76" i="27"/>
  <c r="R76" i="27"/>
  <c r="Q76" i="27"/>
  <c r="V75" i="27"/>
  <c r="R75" i="27"/>
  <c r="Q75" i="27"/>
  <c r="V74" i="27"/>
  <c r="R74" i="27"/>
  <c r="Q74" i="27"/>
  <c r="V73" i="27"/>
  <c r="R73" i="27"/>
  <c r="Q73" i="27"/>
  <c r="N46" i="28"/>
  <c r="N45" i="28"/>
  <c r="N44" i="28"/>
  <c r="N43" i="28"/>
  <c r="N42" i="28"/>
  <c r="N41" i="28"/>
  <c r="N40" i="28"/>
  <c r="N39" i="28"/>
  <c r="N38" i="28"/>
  <c r="N37" i="28"/>
  <c r="N36" i="28"/>
  <c r="N35" i="28"/>
  <c r="N34" i="28"/>
  <c r="N33" i="28"/>
  <c r="N32" i="28"/>
  <c r="N31" i="28"/>
  <c r="N30" i="28"/>
  <c r="N29" i="28"/>
  <c r="N28" i="28"/>
  <c r="J21" i="27"/>
  <c r="U21" i="27" a="1"/>
  <c r="U21" i="27" s="1"/>
  <c r="W54" i="27"/>
  <c r="W53" i="27"/>
  <c r="W52" i="27"/>
  <c r="W51" i="27"/>
  <c r="W50" i="27"/>
  <c r="W49" i="27"/>
  <c r="W48" i="27"/>
  <c r="W47" i="27"/>
  <c r="W46" i="27"/>
  <c r="W45" i="27"/>
  <c r="W44" i="27"/>
  <c r="W43" i="27"/>
  <c r="W42" i="27"/>
  <c r="W37" i="27"/>
  <c r="W36" i="27"/>
  <c r="W35" i="27"/>
  <c r="W34" i="27"/>
  <c r="W33" i="27"/>
  <c r="W32" i="27"/>
  <c r="W31" i="27"/>
  <c r="W30" i="27"/>
  <c r="W29" i="27"/>
  <c r="W28" i="27"/>
  <c r="W27" i="27"/>
  <c r="W26" i="27"/>
  <c r="W25" i="27"/>
  <c r="W24" i="27"/>
  <c r="W23" i="27"/>
  <c r="W22" i="27"/>
  <c r="W21" i="27"/>
  <c r="Q97" i="27"/>
  <c r="Q96" i="27"/>
  <c r="Q95" i="27"/>
  <c r="Q94" i="27"/>
  <c r="Q93" i="27"/>
  <c r="Q58" i="27"/>
  <c r="Q59" i="27"/>
  <c r="Q60" i="27"/>
  <c r="Q61" i="27"/>
  <c r="Q62" i="27"/>
  <c r="Q63" i="27"/>
  <c r="Q64" i="27"/>
  <c r="Q65" i="27"/>
  <c r="Q66" i="27"/>
  <c r="AE78" i="772" l="1"/>
  <c r="AA78" i="772"/>
  <c r="Z78" i="772"/>
  <c r="AA81" i="772"/>
  <c r="AE81" i="772"/>
  <c r="Z81" i="772"/>
  <c r="AA79" i="772"/>
  <c r="Z79" i="772"/>
  <c r="AE79" i="772"/>
  <c r="Z80" i="772"/>
  <c r="AE80" i="772"/>
  <c r="AA80" i="772"/>
  <c r="AA74" i="772"/>
  <c r="Z74" i="772"/>
  <c r="AE74" i="772"/>
  <c r="AE75" i="772"/>
  <c r="AA75" i="772"/>
  <c r="Z75" i="772"/>
  <c r="AA85" i="772"/>
  <c r="Z85" i="772"/>
  <c r="AE85" i="772"/>
  <c r="Z72" i="772"/>
  <c r="AE72" i="772"/>
  <c r="AA72" i="772"/>
  <c r="AE83" i="772"/>
  <c r="AA83" i="772"/>
  <c r="Z83" i="772"/>
  <c r="AA84" i="772"/>
  <c r="Z84" i="772"/>
  <c r="AE84" i="772"/>
  <c r="AE76" i="772"/>
  <c r="AA76" i="772"/>
  <c r="Z76" i="772"/>
  <c r="AA86" i="772"/>
  <c r="AE86" i="772"/>
  <c r="Z86" i="772"/>
  <c r="AA82" i="772"/>
  <c r="AE82" i="772"/>
  <c r="Z82" i="772"/>
  <c r="AE73" i="772"/>
  <c r="AA73" i="772"/>
  <c r="Z73" i="772"/>
  <c r="Z77" i="772"/>
  <c r="AA77" i="772"/>
  <c r="AE77" i="772"/>
  <c r="AH72" i="27"/>
  <c r="AB72" i="27"/>
  <c r="AC72" i="27" s="1"/>
  <c r="AA72" i="27"/>
  <c r="AE72" i="27"/>
  <c r="AD72" i="27" a="1"/>
  <c r="AD72" i="27" s="1"/>
  <c r="Z72" i="27"/>
  <c r="AH85" i="27"/>
  <c r="AH82" i="27"/>
  <c r="AH80" i="27"/>
  <c r="AH79" i="27"/>
  <c r="AH77" i="27"/>
  <c r="AH75" i="27"/>
  <c r="AH73" i="27"/>
  <c r="AA86" i="27" l="1"/>
  <c r="Z86" i="27"/>
  <c r="AD86" i="27" a="1"/>
  <c r="AD86" i="27" s="1"/>
  <c r="AE86" i="27"/>
  <c r="AB86" i="27"/>
  <c r="AC86" i="27" s="1"/>
  <c r="AH86" i="27"/>
  <c r="AD85" i="27" a="1"/>
  <c r="AD85" i="27" s="1"/>
  <c r="AB85" i="27"/>
  <c r="AC85" i="27" s="1"/>
  <c r="AE85" i="27"/>
  <c r="Z85" i="27"/>
  <c r="AA85" i="27"/>
  <c r="AB84" i="27"/>
  <c r="AC84" i="27" s="1"/>
  <c r="AD84" i="27" a="1"/>
  <c r="AD84" i="27" s="1"/>
  <c r="AE84" i="27"/>
  <c r="Z84" i="27"/>
  <c r="AA84" i="27"/>
  <c r="AH84" i="27"/>
  <c r="AA83" i="27"/>
  <c r="AB83" i="27"/>
  <c r="AC83" i="27" s="1"/>
  <c r="AD83" i="27" a="1"/>
  <c r="AD83" i="27" s="1"/>
  <c r="Z83" i="27"/>
  <c r="AE83" i="27"/>
  <c r="AH83" i="27"/>
  <c r="AA82" i="27"/>
  <c r="AD82" i="27" a="1"/>
  <c r="AD82" i="27" s="1"/>
  <c r="AB82" i="27"/>
  <c r="AC82" i="27" s="1"/>
  <c r="AE82" i="27"/>
  <c r="Z82" i="27"/>
  <c r="AA81" i="27"/>
  <c r="AD81" i="27" a="1"/>
  <c r="AD81" i="27" s="1"/>
  <c r="AE81" i="27"/>
  <c r="AB81" i="27"/>
  <c r="AC81" i="27" s="1"/>
  <c r="Z81" i="27"/>
  <c r="AH81" i="27"/>
  <c r="AB80" i="27"/>
  <c r="AC80" i="27" s="1"/>
  <c r="AD80" i="27" a="1"/>
  <c r="AD80" i="27" s="1"/>
  <c r="AE80" i="27"/>
  <c r="Z80" i="27"/>
  <c r="AA80" i="27"/>
  <c r="AB79" i="27"/>
  <c r="AC79" i="27" s="1"/>
  <c r="AE79" i="27"/>
  <c r="AD79" i="27" a="1"/>
  <c r="AD79" i="27" s="1"/>
  <c r="AA79" i="27"/>
  <c r="Z79" i="27"/>
  <c r="AA78" i="27"/>
  <c r="AD78" i="27" a="1"/>
  <c r="AD78" i="27" s="1"/>
  <c r="AE78" i="27"/>
  <c r="AB78" i="27"/>
  <c r="AC78" i="27" s="1"/>
  <c r="Z78" i="27"/>
  <c r="AH78" i="27"/>
  <c r="AD77" i="27" a="1"/>
  <c r="AD77" i="27" s="1"/>
  <c r="AB77" i="27"/>
  <c r="AC77" i="27" s="1"/>
  <c r="AE77" i="27"/>
  <c r="AA77" i="27"/>
  <c r="Z77" i="27"/>
  <c r="AD76" i="27" a="1"/>
  <c r="AD76" i="27" s="1"/>
  <c r="AE76" i="27"/>
  <c r="AB76" i="27"/>
  <c r="AC76" i="27" s="1"/>
  <c r="AA76" i="27"/>
  <c r="Z76" i="27"/>
  <c r="AH76" i="27"/>
  <c r="AE75" i="27"/>
  <c r="AD75" i="27" a="1"/>
  <c r="AD75" i="27" s="1"/>
  <c r="AB75" i="27"/>
  <c r="AC75" i="27" s="1"/>
  <c r="Z75" i="27"/>
  <c r="AA75" i="27"/>
  <c r="AB74" i="27"/>
  <c r="AC74" i="27" s="1"/>
  <c r="AD74" i="27" a="1"/>
  <c r="AD74" i="27" s="1"/>
  <c r="AA74" i="27"/>
  <c r="AE74" i="27"/>
  <c r="Z74" i="27"/>
  <c r="AH74" i="27"/>
  <c r="AB73" i="27"/>
  <c r="AC73" i="27" s="1"/>
  <c r="AD73" i="27" a="1"/>
  <c r="AD73" i="27" s="1"/>
  <c r="AE73" i="27"/>
  <c r="Z73" i="27"/>
  <c r="AA73" i="27"/>
  <c r="E81" i="7"/>
  <c r="E71" i="7"/>
  <c r="E78" i="7"/>
  <c r="E86" i="7"/>
  <c r="E82" i="7"/>
  <c r="E77" i="7"/>
  <c r="E80" i="7"/>
  <c r="E84" i="7"/>
  <c r="E76" i="7"/>
  <c r="E69" i="7"/>
  <c r="E85" i="7"/>
  <c r="E79" i="7"/>
  <c r="E91" i="7"/>
  <c r="E70" i="7"/>
  <c r="E72" i="7"/>
  <c r="E74" i="7"/>
  <c r="E73" i="7"/>
  <c r="E75" i="7"/>
  <c r="E83" i="7"/>
  <c r="E88" i="7"/>
  <c r="E87" i="7"/>
  <c r="E89" i="7"/>
  <c r="E90" i="7"/>
  <c r="E92" i="7"/>
  <c r="D69" i="7" l="1"/>
  <c r="I69" i="7" s="1"/>
  <c r="H92" i="7"/>
  <c r="G92" i="7"/>
  <c r="H91" i="7"/>
  <c r="G91" i="7"/>
  <c r="H90" i="7"/>
  <c r="G90" i="7"/>
  <c r="H89" i="7"/>
  <c r="G89" i="7"/>
  <c r="H88" i="7"/>
  <c r="G88" i="7"/>
  <c r="H87" i="7"/>
  <c r="G87" i="7"/>
  <c r="H86" i="7"/>
  <c r="G86" i="7"/>
  <c r="H85" i="7"/>
  <c r="G85" i="7"/>
  <c r="H84" i="7"/>
  <c r="G84" i="7"/>
  <c r="H83" i="7"/>
  <c r="G83" i="7"/>
  <c r="H82" i="7"/>
  <c r="G82" i="7"/>
  <c r="H81" i="7"/>
  <c r="G81" i="7"/>
  <c r="H80" i="7"/>
  <c r="G80" i="7"/>
  <c r="H79" i="7"/>
  <c r="H78" i="7"/>
  <c r="G78" i="7"/>
  <c r="H77" i="7"/>
  <c r="G77" i="7"/>
  <c r="H76" i="7"/>
  <c r="G76" i="7"/>
  <c r="H75" i="7"/>
  <c r="G75" i="7"/>
  <c r="H74" i="7"/>
  <c r="G74" i="7"/>
  <c r="H73" i="7"/>
  <c r="G73" i="7"/>
  <c r="H72" i="7"/>
  <c r="G72" i="7"/>
  <c r="H71" i="7"/>
  <c r="G71" i="7"/>
  <c r="H70" i="7"/>
  <c r="G70" i="7"/>
  <c r="H69" i="7"/>
  <c r="G69" i="7"/>
  <c r="G79" i="7"/>
  <c r="D90" i="7" l="1"/>
  <c r="I90" i="7" s="1"/>
  <c r="D74" i="7"/>
  <c r="I74" i="7" s="1"/>
  <c r="D78" i="7"/>
  <c r="I78" i="7" s="1"/>
  <c r="D89" i="7"/>
  <c r="I89" i="7" s="1"/>
  <c r="D80" i="7"/>
  <c r="I80" i="7" s="1"/>
  <c r="D92" i="7"/>
  <c r="I92" i="7" s="1"/>
  <c r="D75" i="7"/>
  <c r="I75" i="7" s="1"/>
  <c r="D85" i="7"/>
  <c r="I85" i="7" s="1"/>
  <c r="D83" i="7"/>
  <c r="I83" i="7" s="1"/>
  <c r="D88" i="7"/>
  <c r="I88" i="7" s="1"/>
  <c r="D86" i="7"/>
  <c r="I86" i="7" s="1"/>
  <c r="D84" i="7"/>
  <c r="I84" i="7" s="1"/>
  <c r="D82" i="7"/>
  <c r="I82" i="7" s="1"/>
  <c r="D81" i="7"/>
  <c r="I81" i="7" s="1"/>
  <c r="D79" i="7"/>
  <c r="I79" i="7" s="1"/>
  <c r="D76" i="7"/>
  <c r="I76" i="7" s="1"/>
  <c r="D73" i="7"/>
  <c r="I73" i="7" s="1"/>
  <c r="D72" i="7"/>
  <c r="I72" i="7" s="1"/>
  <c r="D71" i="7"/>
  <c r="I71" i="7" s="1"/>
  <c r="D70" i="7" l="1"/>
  <c r="I70" i="7" s="1"/>
  <c r="D87" i="7"/>
  <c r="I87" i="7" s="1"/>
  <c r="D77" i="7"/>
  <c r="I77" i="7" s="1"/>
  <c r="D91" i="7"/>
  <c r="I91" i="7" s="1"/>
  <c r="H128" i="27"/>
  <c r="H126" i="27"/>
  <c r="H124" i="27"/>
  <c r="H123" i="27"/>
  <c r="H121" i="27"/>
  <c r="G118" i="27"/>
  <c r="G117" i="27"/>
  <c r="F118" i="27"/>
  <c r="F117" i="27"/>
  <c r="T66" i="27"/>
  <c r="T65" i="27"/>
  <c r="T64" i="27"/>
  <c r="T63" i="27"/>
  <c r="T62" i="27"/>
  <c r="T61" i="27"/>
  <c r="T60" i="27"/>
  <c r="T58" i="27"/>
  <c r="T59" i="27"/>
  <c r="W58" i="27"/>
  <c r="W59" i="27"/>
  <c r="W60" i="27"/>
  <c r="W61" i="27"/>
  <c r="W62" i="27"/>
  <c r="W63" i="27"/>
  <c r="W64" i="27"/>
  <c r="W65" i="27"/>
  <c r="W66" i="27"/>
  <c r="V58" i="27"/>
  <c r="V59" i="27"/>
  <c r="V60" i="27"/>
  <c r="V61" i="27"/>
  <c r="V62" i="27"/>
  <c r="V63" i="27"/>
  <c r="V64" i="27"/>
  <c r="V65" i="27"/>
  <c r="V66" i="27"/>
  <c r="U58" i="27" a="1"/>
  <c r="U58" i="27" s="1"/>
  <c r="U59" i="27" a="1"/>
  <c r="U59" i="27" s="1"/>
  <c r="U60" i="27" a="1"/>
  <c r="U60" i="27" s="1"/>
  <c r="U61" i="27" a="1"/>
  <c r="U61" i="27" s="1"/>
  <c r="U62" i="27" a="1"/>
  <c r="U62" i="27" s="1"/>
  <c r="U63" i="27" a="1"/>
  <c r="U63" i="27" s="1"/>
  <c r="U64" i="27" a="1"/>
  <c r="U64" i="27" s="1"/>
  <c r="U65" i="27" a="1"/>
  <c r="U65" i="27" s="1"/>
  <c r="U66" i="27" a="1"/>
  <c r="U66" i="27" s="1"/>
  <c r="R58" i="27"/>
  <c r="R59" i="27"/>
  <c r="R60" i="27"/>
  <c r="R61" i="27"/>
  <c r="R62" i="27"/>
  <c r="R63" i="27"/>
  <c r="R64" i="27"/>
  <c r="R65" i="27"/>
  <c r="R66" i="27"/>
  <c r="S66" i="27"/>
  <c r="AH54" i="27"/>
  <c r="V42" i="27"/>
  <c r="V43" i="27"/>
  <c r="V44" i="27"/>
  <c r="V45" i="27"/>
  <c r="V46" i="27"/>
  <c r="V47" i="27"/>
  <c r="V48" i="27"/>
  <c r="V49" i="27"/>
  <c r="V50" i="27"/>
  <c r="V51" i="27"/>
  <c r="V52" i="27"/>
  <c r="V53" i="27"/>
  <c r="V54" i="27"/>
  <c r="U42" i="27" a="1"/>
  <c r="U42" i="27" s="1"/>
  <c r="U43" i="27" a="1"/>
  <c r="U43" i="27" s="1"/>
  <c r="U44" i="27" a="1"/>
  <c r="U44" i="27" s="1"/>
  <c r="U45" i="27" a="1"/>
  <c r="U45" i="27" s="1"/>
  <c r="U46" i="27" a="1"/>
  <c r="U46" i="27" s="1"/>
  <c r="U47" i="27" a="1"/>
  <c r="U47" i="27" s="1"/>
  <c r="U48" i="27" a="1"/>
  <c r="U48" i="27" s="1"/>
  <c r="U49" i="27" a="1"/>
  <c r="U49" i="27" s="1"/>
  <c r="U50" i="27" a="1"/>
  <c r="U50" i="27" s="1"/>
  <c r="U51" i="27" a="1"/>
  <c r="U51" i="27" s="1"/>
  <c r="U52" i="27" a="1"/>
  <c r="U52" i="27" s="1"/>
  <c r="U53" i="27" a="1"/>
  <c r="U53" i="27" s="1"/>
  <c r="U54" i="27" a="1"/>
  <c r="U54" i="27" s="1"/>
  <c r="T42" i="27"/>
  <c r="T43" i="27"/>
  <c r="T44" i="27"/>
  <c r="T45" i="27"/>
  <c r="T46" i="27"/>
  <c r="T47" i="27"/>
  <c r="T48" i="27"/>
  <c r="T49" i="27"/>
  <c r="T50" i="27"/>
  <c r="T51" i="27"/>
  <c r="T52" i="27"/>
  <c r="T53" i="27"/>
  <c r="T54" i="27"/>
  <c r="S49" i="27"/>
  <c r="S50" i="27"/>
  <c r="S51" i="27"/>
  <c r="S52" i="27"/>
  <c r="S53" i="27"/>
  <c r="S54" i="27"/>
  <c r="R42" i="27"/>
  <c r="R43" i="27"/>
  <c r="R44" i="27"/>
  <c r="R45" i="27"/>
  <c r="R46" i="27"/>
  <c r="R47" i="27"/>
  <c r="R48" i="27"/>
  <c r="R49" i="27"/>
  <c r="R50" i="27"/>
  <c r="R51" i="27"/>
  <c r="R52" i="27"/>
  <c r="R53" i="27"/>
  <c r="R54" i="27"/>
  <c r="Q42" i="27"/>
  <c r="Q43" i="27"/>
  <c r="Q44" i="27"/>
  <c r="Q45" i="27"/>
  <c r="Q46" i="27"/>
  <c r="Q47" i="27"/>
  <c r="Q48" i="27"/>
  <c r="Q49" i="27"/>
  <c r="Q50" i="27"/>
  <c r="Q51" i="27"/>
  <c r="Q52" i="27"/>
  <c r="Q53" i="27"/>
  <c r="Q54" i="27"/>
  <c r="J54" i="27"/>
  <c r="J53" i="27"/>
  <c r="J52" i="27"/>
  <c r="AF52" i="27" s="1"/>
  <c r="J51" i="27"/>
  <c r="J50" i="27"/>
  <c r="J49" i="27"/>
  <c r="AF49" i="27" s="1"/>
  <c r="J48" i="27"/>
  <c r="J47" i="27"/>
  <c r="AF47" i="27" s="1"/>
  <c r="J46" i="27"/>
  <c r="AF46" i="27" s="1"/>
  <c r="J45" i="27"/>
  <c r="J44" i="27"/>
  <c r="J43" i="27"/>
  <c r="J42" i="27"/>
  <c r="AF21" i="27"/>
  <c r="AH32" i="27"/>
  <c r="AH37" i="27"/>
  <c r="V37" i="27"/>
  <c r="V36" i="27"/>
  <c r="V35" i="27"/>
  <c r="V34" i="27"/>
  <c r="V33" i="27"/>
  <c r="V32" i="27"/>
  <c r="V31" i="27"/>
  <c r="V30" i="27"/>
  <c r="V29" i="27"/>
  <c r="V28" i="27"/>
  <c r="V27" i="27"/>
  <c r="V26" i="27"/>
  <c r="V25" i="27"/>
  <c r="V24" i="27"/>
  <c r="V23" i="27"/>
  <c r="V22" i="27"/>
  <c r="V21" i="27"/>
  <c r="U37" i="27" a="1"/>
  <c r="U37" i="27" s="1"/>
  <c r="U36" i="27" a="1"/>
  <c r="U36" i="27" s="1"/>
  <c r="U35" i="27" a="1"/>
  <c r="U35" i="27" s="1"/>
  <c r="U34" i="27" a="1"/>
  <c r="U34" i="27" s="1"/>
  <c r="U33" i="27" a="1"/>
  <c r="U33" i="27" s="1"/>
  <c r="U32" i="27" a="1"/>
  <c r="U32" i="27" s="1"/>
  <c r="U31" i="27" a="1"/>
  <c r="U31" i="27" s="1"/>
  <c r="U30" i="27" a="1"/>
  <c r="U30" i="27" s="1"/>
  <c r="U29" i="27" a="1"/>
  <c r="U29" i="27" s="1"/>
  <c r="U28" i="27" a="1"/>
  <c r="U28" i="27" s="1"/>
  <c r="U27" i="27" a="1"/>
  <c r="U27" i="27" s="1"/>
  <c r="U26" i="27" a="1"/>
  <c r="U26" i="27" s="1"/>
  <c r="U25" i="27" a="1"/>
  <c r="U25" i="27" s="1"/>
  <c r="U24" i="27" a="1"/>
  <c r="U24" i="27" s="1"/>
  <c r="U23" i="27" a="1"/>
  <c r="U23" i="27" s="1"/>
  <c r="U22" i="27" a="1"/>
  <c r="U22" i="27" s="1"/>
  <c r="T37" i="27"/>
  <c r="T36" i="27"/>
  <c r="T35" i="27"/>
  <c r="T34" i="27"/>
  <c r="T33" i="27"/>
  <c r="T32" i="27"/>
  <c r="T31" i="27"/>
  <c r="T30" i="27"/>
  <c r="T29" i="27"/>
  <c r="T28" i="27"/>
  <c r="T27" i="27"/>
  <c r="T26" i="27"/>
  <c r="T25" i="27"/>
  <c r="T24" i="27"/>
  <c r="T23" i="27"/>
  <c r="T22" i="27"/>
  <c r="T21" i="27"/>
  <c r="S37" i="27"/>
  <c r="S36" i="27"/>
  <c r="S35" i="27"/>
  <c r="S34" i="27"/>
  <c r="S33" i="27"/>
  <c r="S32" i="27"/>
  <c r="S31" i="27"/>
  <c r="S30" i="27"/>
  <c r="S29" i="27"/>
  <c r="S28" i="27"/>
  <c r="S27" i="27"/>
  <c r="S26" i="27"/>
  <c r="S25" i="27"/>
  <c r="R37" i="27"/>
  <c r="R36" i="27"/>
  <c r="R35" i="27"/>
  <c r="R34" i="27"/>
  <c r="R33" i="27"/>
  <c r="R32" i="27"/>
  <c r="R31" i="27"/>
  <c r="R30" i="27"/>
  <c r="R29" i="27"/>
  <c r="R28" i="27"/>
  <c r="R27" i="27"/>
  <c r="R26" i="27"/>
  <c r="R25" i="27"/>
  <c r="R24" i="27"/>
  <c r="R23" i="27"/>
  <c r="R22" i="27"/>
  <c r="R21" i="27"/>
  <c r="Q37" i="27"/>
  <c r="Q36" i="27"/>
  <c r="Q35" i="27"/>
  <c r="Q34" i="27"/>
  <c r="Q33" i="27"/>
  <c r="Q32" i="27"/>
  <c r="Q31" i="27"/>
  <c r="Q30" i="27"/>
  <c r="Q29" i="27"/>
  <c r="Q28" i="27"/>
  <c r="Q27" i="27"/>
  <c r="Q26" i="27"/>
  <c r="Q25" i="27"/>
  <c r="Q24" i="27"/>
  <c r="Q23" i="27"/>
  <c r="Q22" i="27"/>
  <c r="Q21" i="27"/>
  <c r="J22" i="27"/>
  <c r="J23" i="27"/>
  <c r="J24" i="27"/>
  <c r="J25" i="27"/>
  <c r="J26" i="27"/>
  <c r="AF26" i="27" s="1"/>
  <c r="J27" i="27"/>
  <c r="AF27" i="27" s="1"/>
  <c r="J28" i="27"/>
  <c r="J29" i="27"/>
  <c r="J30" i="27"/>
  <c r="AF30" i="27" s="1"/>
  <c r="J31" i="27"/>
  <c r="AF31" i="27" s="1"/>
  <c r="J32" i="27"/>
  <c r="AF32" i="27" s="1"/>
  <c r="J33" i="27"/>
  <c r="J34" i="27"/>
  <c r="J35" i="27"/>
  <c r="J36" i="27"/>
  <c r="AF36" i="27" s="1"/>
  <c r="J37" i="27"/>
  <c r="AF37" i="27" s="1"/>
  <c r="AE21" i="772" l="1"/>
  <c r="AC21" i="772"/>
  <c r="Z21" i="772"/>
  <c r="AB21" i="772"/>
  <c r="AA21" i="772"/>
  <c r="Z36" i="772"/>
  <c r="AC36" i="772"/>
  <c r="AE36" i="772"/>
  <c r="AB36" i="772"/>
  <c r="AA36" i="772"/>
  <c r="AB26" i="772"/>
  <c r="AE26" i="772"/>
  <c r="AA26" i="772"/>
  <c r="AC26" i="772"/>
  <c r="Z26" i="772"/>
  <c r="AE47" i="772"/>
  <c r="AC47" i="772"/>
  <c r="AB47" i="772"/>
  <c r="AA47" i="772"/>
  <c r="Z47" i="772"/>
  <c r="AC52" i="772"/>
  <c r="Z52" i="772"/>
  <c r="AB52" i="772"/>
  <c r="AA52" i="772"/>
  <c r="AE52" i="772"/>
  <c r="AE32" i="772"/>
  <c r="AB32" i="772"/>
  <c r="AC32" i="772"/>
  <c r="AA32" i="772"/>
  <c r="Z32" i="772"/>
  <c r="Z30" i="772"/>
  <c r="AE30" i="772"/>
  <c r="AA30" i="772"/>
  <c r="AC30" i="772"/>
  <c r="AB30" i="772"/>
  <c r="AE49" i="772"/>
  <c r="AC49" i="772"/>
  <c r="AB49" i="772"/>
  <c r="AA49" i="772"/>
  <c r="Z49" i="772"/>
  <c r="AA31" i="772"/>
  <c r="AE31" i="772"/>
  <c r="AB31" i="772"/>
  <c r="AC31" i="772"/>
  <c r="Z31" i="772"/>
  <c r="AE37" i="772"/>
  <c r="AB37" i="772"/>
  <c r="AC37" i="772"/>
  <c r="Z37" i="772"/>
  <c r="AA37" i="772"/>
  <c r="AB27" i="772"/>
  <c r="Z27" i="772"/>
  <c r="AC27" i="772"/>
  <c r="AA27" i="772"/>
  <c r="AE27" i="772"/>
  <c r="AA46" i="772"/>
  <c r="Z46" i="772"/>
  <c r="AC46" i="772"/>
  <c r="AE46" i="772"/>
  <c r="AB46" i="772"/>
  <c r="AH49" i="27"/>
  <c r="AH26" i="27"/>
  <c r="AH36" i="27"/>
  <c r="AH52" i="27"/>
  <c r="AH30" i="27"/>
  <c r="AH27" i="27"/>
  <c r="AH31" i="27"/>
  <c r="AD29" i="27" a="1"/>
  <c r="AD29" i="27" s="1"/>
  <c r="AF29" i="27"/>
  <c r="AD22" i="27" a="1"/>
  <c r="AD22" i="27" s="1"/>
  <c r="AF22" i="27"/>
  <c r="AD50" i="27" a="1"/>
  <c r="AD50" i="27" s="1"/>
  <c r="AF50" i="27"/>
  <c r="AD51" i="27" a="1"/>
  <c r="AD51" i="27" s="1"/>
  <c r="AF51" i="27"/>
  <c r="AD42" i="27" a="1"/>
  <c r="AD42" i="27" s="1"/>
  <c r="AF42" i="27"/>
  <c r="AD43" i="27" a="1"/>
  <c r="AD43" i="27" s="1"/>
  <c r="AF43" i="27"/>
  <c r="AD53" i="27" a="1"/>
  <c r="AD53" i="27" s="1"/>
  <c r="AF53" i="27"/>
  <c r="AD44" i="27" a="1"/>
  <c r="AD44" i="27" s="1"/>
  <c r="AF44" i="27"/>
  <c r="AD28" i="27" a="1"/>
  <c r="AD28" i="27" s="1"/>
  <c r="AF28" i="27"/>
  <c r="AD54" i="27" a="1"/>
  <c r="AD54" i="27" s="1"/>
  <c r="AF54" i="27"/>
  <c r="AD25" i="27" a="1"/>
  <c r="AD25" i="27" s="1"/>
  <c r="AF25" i="27"/>
  <c r="AD34" i="27" a="1"/>
  <c r="AD34" i="27" s="1"/>
  <c r="AF34" i="27"/>
  <c r="AD48" i="27" a="1"/>
  <c r="AD48" i="27" s="1"/>
  <c r="AF48" i="27"/>
  <c r="AD35" i="27" a="1"/>
  <c r="AD35" i="27" s="1"/>
  <c r="AF35" i="27"/>
  <c r="AD33" i="27" a="1"/>
  <c r="AD33" i="27" s="1"/>
  <c r="AF33" i="27"/>
  <c r="AD23" i="27" a="1"/>
  <c r="AD23" i="27" s="1"/>
  <c r="AF23" i="27"/>
  <c r="AD45" i="27" a="1"/>
  <c r="AD45" i="27" s="1"/>
  <c r="AF45" i="27"/>
  <c r="AD24" i="27" a="1"/>
  <c r="AD24" i="27" s="1"/>
  <c r="AF24" i="27"/>
  <c r="AC27" i="27"/>
  <c r="AD52" i="27" a="1"/>
  <c r="AD52" i="27" s="1"/>
  <c r="AD47" i="27" a="1"/>
  <c r="AD47" i="27" s="1"/>
  <c r="AD46" i="27" a="1"/>
  <c r="AD46" i="27" s="1"/>
  <c r="AD21" i="27" a="1"/>
  <c r="AD21" i="27" s="1"/>
  <c r="AD30" i="27" a="1"/>
  <c r="AD30" i="27" s="1"/>
  <c r="Z49" i="27"/>
  <c r="AA49" i="27"/>
  <c r="AD49" i="27" a="1"/>
  <c r="AD49" i="27" s="1"/>
  <c r="AD27" i="27" a="1"/>
  <c r="AD27" i="27" s="1"/>
  <c r="AC30" i="27"/>
  <c r="AE30" i="27"/>
  <c r="AE21" i="27"/>
  <c r="AA21" i="27"/>
  <c r="Z21" i="27"/>
  <c r="AC21" i="27"/>
  <c r="AA52" i="27"/>
  <c r="Z52" i="27"/>
  <c r="AC52" i="27"/>
  <c r="AB52" i="27"/>
  <c r="AE52" i="27"/>
  <c r="AE37" i="27"/>
  <c r="AC37" i="27"/>
  <c r="AB37" i="27"/>
  <c r="AA37" i="27"/>
  <c r="Z37" i="27"/>
  <c r="AC36" i="27"/>
  <c r="AE36" i="27"/>
  <c r="AC47" i="27"/>
  <c r="AE47" i="27"/>
  <c r="AA47" i="27"/>
  <c r="Z47" i="27"/>
  <c r="AH47" i="27"/>
  <c r="AE26" i="27"/>
  <c r="AC26" i="27"/>
  <c r="AB26" i="27"/>
  <c r="AA26" i="27"/>
  <c r="Z26" i="27"/>
  <c r="AC46" i="27"/>
  <c r="Z46" i="27"/>
  <c r="AE46" i="27"/>
  <c r="AA46" i="27"/>
  <c r="AE31" i="27"/>
  <c r="Z31" i="27"/>
  <c r="AC31" i="27"/>
  <c r="AB31" i="27"/>
  <c r="AA31" i="27"/>
  <c r="AH46" i="27"/>
  <c r="AE32" i="27"/>
  <c r="AC32" i="27"/>
  <c r="AB32" i="27"/>
  <c r="AA32" i="27"/>
  <c r="Z32" i="27"/>
  <c r="AH21" i="27"/>
  <c r="AD32" i="27" a="1"/>
  <c r="AD32" i="27" s="1"/>
  <c r="AD31" i="27" a="1"/>
  <c r="AD31" i="27" s="1"/>
  <c r="AE49" i="27"/>
  <c r="AD37" i="27" a="1"/>
  <c r="AD37" i="27" s="1"/>
  <c r="AB49" i="27"/>
  <c r="AD36" i="27" a="1"/>
  <c r="AD36" i="27" s="1"/>
  <c r="AD26" i="27" a="1"/>
  <c r="AD26" i="27" s="1"/>
  <c r="AE27" i="27"/>
  <c r="AC49" i="27"/>
  <c r="Z36" i="27"/>
  <c r="AA27" i="27"/>
  <c r="AA30" i="27"/>
  <c r="AA36" i="27"/>
  <c r="Z30" i="27"/>
  <c r="AB27" i="27"/>
  <c r="AB30" i="27"/>
  <c r="AB36" i="27"/>
  <c r="Z27" i="27"/>
  <c r="AE22" i="772" l="1"/>
  <c r="AC22" i="772"/>
  <c r="Z22" i="772"/>
  <c r="AA22" i="772"/>
  <c r="AB22" i="772"/>
  <c r="AE43" i="772"/>
  <c r="AC43" i="772"/>
  <c r="AB43" i="772"/>
  <c r="AA43" i="772"/>
  <c r="Z43" i="772"/>
  <c r="AC45" i="772"/>
  <c r="AE45" i="772"/>
  <c r="AB45" i="772"/>
  <c r="AA45" i="772"/>
  <c r="Z45" i="772"/>
  <c r="AC23" i="772"/>
  <c r="AB23" i="772"/>
  <c r="AA23" i="772"/>
  <c r="Z23" i="772"/>
  <c r="AE23" i="772"/>
  <c r="AB25" i="772"/>
  <c r="AC25" i="772"/>
  <c r="AA25" i="772"/>
  <c r="Z25" i="772"/>
  <c r="AE25" i="772"/>
  <c r="AA29" i="772"/>
  <c r="AC29" i="772"/>
  <c r="AB29" i="772"/>
  <c r="Z29" i="772"/>
  <c r="AE29" i="772"/>
  <c r="AE35" i="772"/>
  <c r="AA35" i="772"/>
  <c r="AC35" i="772"/>
  <c r="AB35" i="772"/>
  <c r="Z35" i="772"/>
  <c r="AE28" i="772"/>
  <c r="AC28" i="772"/>
  <c r="Z28" i="772"/>
  <c r="AA28" i="772"/>
  <c r="AB28" i="772"/>
  <c r="AE51" i="772"/>
  <c r="AC51" i="772"/>
  <c r="AB51" i="772"/>
  <c r="AA51" i="772"/>
  <c r="Z51" i="772"/>
  <c r="AC53" i="772"/>
  <c r="AE53" i="772"/>
  <c r="AA53" i="772"/>
  <c r="AB53" i="772"/>
  <c r="Z53" i="772"/>
  <c r="AE33" i="772"/>
  <c r="AA33" i="772"/>
  <c r="AC33" i="772"/>
  <c r="AB33" i="772"/>
  <c r="Z33" i="772"/>
  <c r="AC54" i="772"/>
  <c r="AB54" i="772"/>
  <c r="AA54" i="772"/>
  <c r="Z54" i="772"/>
  <c r="AE54" i="772"/>
  <c r="AB42" i="772"/>
  <c r="AC42" i="772"/>
  <c r="AE42" i="772"/>
  <c r="AA42" i="772"/>
  <c r="Z42" i="772"/>
  <c r="AE24" i="772"/>
  <c r="AC24" i="772"/>
  <c r="AB24" i="772"/>
  <c r="AA24" i="772"/>
  <c r="Z24" i="772"/>
  <c r="Z48" i="772"/>
  <c r="AB48" i="772"/>
  <c r="AA48" i="772"/>
  <c r="AE48" i="772"/>
  <c r="AC48" i="772"/>
  <c r="AA44" i="772"/>
  <c r="AC44" i="772"/>
  <c r="AE44" i="772"/>
  <c r="AB44" i="772"/>
  <c r="Z44" i="772"/>
  <c r="Z50" i="772"/>
  <c r="AC50" i="772"/>
  <c r="AB50" i="772"/>
  <c r="AA50" i="772"/>
  <c r="AE50" i="772"/>
  <c r="AB34" i="772"/>
  <c r="AE34" i="772"/>
  <c r="AC34" i="772"/>
  <c r="AA34" i="772"/>
  <c r="Z34" i="772"/>
  <c r="AH34" i="27"/>
  <c r="AH53" i="27"/>
  <c r="AH25" i="27"/>
  <c r="AH29" i="27"/>
  <c r="AH33" i="27"/>
  <c r="AH35" i="27"/>
  <c r="AH51" i="27"/>
  <c r="AH28" i="27"/>
  <c r="AH50" i="27"/>
  <c r="Z54" i="27"/>
  <c r="AB35" i="27"/>
  <c r="AE43" i="27"/>
  <c r="AB29" i="27"/>
  <c r="AC54" i="27"/>
  <c r="AC35" i="27"/>
  <c r="AA29" i="27"/>
  <c r="Z24" i="27"/>
  <c r="AC29" i="27"/>
  <c r="AB33" i="27"/>
  <c r="AA53" i="27"/>
  <c r="Z22" i="27"/>
  <c r="Z29" i="27"/>
  <c r="Z53" i="27"/>
  <c r="AA54" i="27"/>
  <c r="AA35" i="27"/>
  <c r="AE54" i="27"/>
  <c r="Z35" i="27"/>
  <c r="Z48" i="27"/>
  <c r="AA33" i="27"/>
  <c r="AH48" i="27"/>
  <c r="Z33" i="27"/>
  <c r="AE48" i="27"/>
  <c r="AH42" i="27"/>
  <c r="AA43" i="27"/>
  <c r="Z42" i="27"/>
  <c r="AB34" i="27"/>
  <c r="AA24" i="27"/>
  <c r="AC43" i="27"/>
  <c r="AE53" i="27"/>
  <c r="AE29" i="27"/>
  <c r="AA42" i="27"/>
  <c r="AB43" i="27"/>
  <c r="AC24" i="27"/>
  <c r="AA22" i="27"/>
  <c r="AE42" i="27"/>
  <c r="AC42" i="27"/>
  <c r="AE22" i="27"/>
  <c r="Z34" i="27"/>
  <c r="Z43" i="27"/>
  <c r="AA48" i="27"/>
  <c r="AC22" i="27"/>
  <c r="AE24" i="27"/>
  <c r="AB53" i="27"/>
  <c r="AB24" i="27"/>
  <c r="AH44" i="27"/>
  <c r="AH22" i="27"/>
  <c r="AC53" i="27"/>
  <c r="Z23" i="27"/>
  <c r="AE35" i="27"/>
  <c r="AB54" i="27"/>
  <c r="AC48" i="27"/>
  <c r="AH43" i="27"/>
  <c r="AH24" i="27"/>
  <c r="AE34" i="27"/>
  <c r="AC34" i="27"/>
  <c r="AA34" i="27"/>
  <c r="AE23" i="27"/>
  <c r="AC23" i="27"/>
  <c r="AA23" i="27"/>
  <c r="AH23" i="27"/>
  <c r="Z51" i="27"/>
  <c r="AC51" i="27"/>
  <c r="AB51" i="27"/>
  <c r="AE51" i="27"/>
  <c r="AA51" i="27"/>
  <c r="AE28" i="27"/>
  <c r="AA28" i="27"/>
  <c r="Z28" i="27"/>
  <c r="AC28" i="27"/>
  <c r="AB28" i="27"/>
  <c r="AE45" i="27"/>
  <c r="AA45" i="27"/>
  <c r="Z45" i="27"/>
  <c r="AC45" i="27"/>
  <c r="AC33" i="27"/>
  <c r="AE33" i="27"/>
  <c r="AH45" i="27"/>
  <c r="AB44" i="27"/>
  <c r="AE44" i="27"/>
  <c r="AA44" i="27"/>
  <c r="Z44" i="27"/>
  <c r="AC44" i="27"/>
  <c r="Z50" i="27"/>
  <c r="AC50" i="27"/>
  <c r="AB50" i="27"/>
  <c r="AE50" i="27"/>
  <c r="AA50" i="27"/>
  <c r="AE25" i="27"/>
  <c r="AB25" i="27"/>
  <c r="Z25" i="27"/>
  <c r="AA25" i="27"/>
  <c r="AC25" i="27"/>
  <c r="E63" i="7" l="1"/>
  <c r="E122" i="7" s="1"/>
  <c r="G15" i="6" s="1"/>
  <c r="D63" i="7"/>
  <c r="D122" i="7" s="1"/>
  <c r="G10" i="6" s="1"/>
  <c r="G20" i="6" l="1"/>
  <c r="F82" i="7" l="1"/>
  <c r="F86" i="7"/>
  <c r="F72" i="7"/>
  <c r="F73" i="7"/>
  <c r="F75" i="7"/>
  <c r="F81" i="7"/>
  <c r="F90" i="7"/>
  <c r="F91" i="7"/>
  <c r="F76" i="7"/>
  <c r="F87" i="7"/>
  <c r="F71" i="7"/>
  <c r="F83" i="7"/>
  <c r="F80" i="7"/>
  <c r="F92" i="7"/>
  <c r="F84" i="7"/>
  <c r="F88" i="7"/>
  <c r="F89" i="7"/>
  <c r="F85" i="7"/>
  <c r="F78" i="7" l="1"/>
  <c r="F79" i="7"/>
  <c r="F74" i="7"/>
  <c r="F70" i="7"/>
  <c r="F77" i="7"/>
  <c r="K135" i="27" l="1"/>
  <c r="J135" i="27"/>
  <c r="U94" i="27" l="1" a="1"/>
  <c r="U94" i="27" s="1"/>
  <c r="U95" i="27" a="1"/>
  <c r="U95" i="27" s="1"/>
  <c r="U96" i="27" a="1"/>
  <c r="U96" i="27" s="1"/>
  <c r="U97" i="27" a="1"/>
  <c r="U97" i="27" s="1"/>
  <c r="U93" i="27" a="1"/>
  <c r="U93" i="27" s="1"/>
  <c r="V94" i="27"/>
  <c r="V95" i="27"/>
  <c r="V96" i="27"/>
  <c r="V97" i="27"/>
  <c r="V93" i="27"/>
  <c r="W97" i="27"/>
  <c r="T97" i="27"/>
  <c r="R97" i="27"/>
  <c r="W96" i="27"/>
  <c r="T96" i="27"/>
  <c r="R96" i="27"/>
  <c r="W95" i="27"/>
  <c r="T95" i="27"/>
  <c r="R95" i="27"/>
  <c r="W94" i="27"/>
  <c r="T94" i="27"/>
  <c r="R94" i="27"/>
  <c r="W93" i="27"/>
  <c r="T93" i="27"/>
  <c r="R93" i="27"/>
  <c r="N26" i="28"/>
  <c r="N24" i="28"/>
  <c r="N25" i="28"/>
  <c r="N23" i="28"/>
  <c r="N22" i="28"/>
  <c r="V72" i="27"/>
  <c r="R72" i="27"/>
  <c r="Q72" i="27"/>
  <c r="N27" i="28"/>
  <c r="N21" i="28"/>
  <c r="N20" i="28"/>
  <c r="N18" i="28"/>
  <c r="N19" i="28"/>
  <c r="N17" i="28"/>
  <c r="N16" i="28"/>
  <c r="N9" i="28"/>
  <c r="N10" i="28"/>
  <c r="N11" i="28"/>
  <c r="N12" i="28"/>
  <c r="N13" i="28"/>
  <c r="N14" i="28"/>
  <c r="N15" i="28"/>
  <c r="N8" i="28"/>
  <c r="S79" i="27" l="1"/>
  <c r="S85" i="27"/>
  <c r="S80" i="27"/>
  <c r="S83" i="27"/>
  <c r="S76" i="27"/>
  <c r="S86" i="27"/>
  <c r="S81" i="27"/>
  <c r="S73" i="27"/>
  <c r="S74" i="27"/>
  <c r="S84" i="27"/>
  <c r="S77" i="27"/>
  <c r="S78" i="27"/>
  <c r="S82" i="27"/>
  <c r="S72" i="27"/>
  <c r="S75" i="27"/>
  <c r="S65" i="27"/>
  <c r="S44" i="27"/>
  <c r="S46" i="27"/>
  <c r="S45" i="27"/>
  <c r="S47" i="27"/>
  <c r="S24" i="27"/>
  <c r="S48" i="27"/>
  <c r="S23" i="27"/>
  <c r="S22" i="27"/>
  <c r="S59" i="27"/>
  <c r="S21" i="27"/>
  <c r="S60" i="27"/>
  <c r="AB23" i="27"/>
  <c r="S62" i="27"/>
  <c r="S61" i="27"/>
  <c r="S58" i="27"/>
  <c r="S63" i="27"/>
  <c r="S42" i="27"/>
  <c r="S64" i="27"/>
  <c r="S43" i="27"/>
  <c r="AB42" i="27"/>
  <c r="AB48" i="27"/>
  <c r="AB21" i="27"/>
  <c r="AB46" i="27"/>
  <c r="AB47" i="27"/>
  <c r="AB22" i="27"/>
  <c r="AB45" i="27"/>
  <c r="S97" i="27"/>
  <c r="S95" i="27"/>
  <c r="S96" i="27"/>
  <c r="S94" i="27"/>
  <c r="S93" i="27"/>
  <c r="H130" i="27"/>
  <c r="H139" i="27"/>
  <c r="H140" i="27"/>
  <c r="H141" i="27"/>
  <c r="H142" i="27"/>
  <c r="H138" i="27"/>
  <c r="T76" i="27" l="1"/>
  <c r="T75" i="27"/>
  <c r="T72" i="27"/>
  <c r="T83" i="27"/>
  <c r="T82" i="27"/>
  <c r="T80" i="27"/>
  <c r="T77" i="27"/>
  <c r="T78" i="27"/>
  <c r="T74" i="27"/>
  <c r="T85" i="27"/>
  <c r="T79" i="27"/>
  <c r="T84" i="27"/>
  <c r="T73" i="27"/>
  <c r="T81" i="27"/>
  <c r="T86" i="27"/>
  <c r="I143" i="27"/>
  <c r="H150" i="7"/>
  <c r="H149" i="7"/>
  <c r="G149" i="7"/>
  <c r="E149" i="7"/>
  <c r="H145" i="7"/>
  <c r="G145" i="7"/>
  <c r="D145" i="7"/>
  <c r="H144" i="7"/>
  <c r="G144" i="7"/>
  <c r="H140" i="7"/>
  <c r="H137" i="7"/>
  <c r="E137" i="7"/>
  <c r="H136" i="7"/>
  <c r="E136" i="7"/>
  <c r="H135" i="7"/>
  <c r="G135" i="7"/>
  <c r="E135" i="7"/>
  <c r="E131" i="7"/>
  <c r="D38" i="7"/>
  <c r="D39" i="7" s="1"/>
  <c r="D40" i="7" s="1"/>
  <c r="D41" i="7" s="1"/>
  <c r="D42" i="7" s="1"/>
  <c r="D43" i="7" s="1"/>
  <c r="D44" i="7" s="1"/>
  <c r="D45" i="7" s="1"/>
  <c r="D46" i="7" s="1"/>
  <c r="D47" i="7" s="1"/>
  <c r="D48" i="7" s="1"/>
  <c r="D49" i="7" s="1"/>
  <c r="D50" i="7" s="1"/>
  <c r="D51" i="7" s="1"/>
  <c r="D52" i="7" s="1"/>
  <c r="D53" i="7" s="1"/>
  <c r="D54" i="7" s="1"/>
  <c r="D55" i="7" s="1"/>
  <c r="D56" i="7" s="1"/>
  <c r="D57" i="7" s="1"/>
  <c r="H38" i="7"/>
  <c r="H39" i="7" s="1"/>
  <c r="H40" i="7" s="1"/>
  <c r="H41" i="7" s="1"/>
  <c r="H42" i="7" s="1"/>
  <c r="H43" i="7" s="1"/>
  <c r="H44" i="7" s="1"/>
  <c r="H45" i="7" s="1"/>
  <c r="H46" i="7" s="1"/>
  <c r="H47" i="7" s="1"/>
  <c r="H48" i="7" s="1"/>
  <c r="H49" i="7" s="1"/>
  <c r="H50" i="7" s="1"/>
  <c r="H51" i="7" s="1"/>
  <c r="H52" i="7" s="1"/>
  <c r="H53" i="7" s="1"/>
  <c r="H54" i="7" s="1"/>
  <c r="H55" i="7" s="1"/>
  <c r="H56" i="7" s="1"/>
  <c r="H57" i="7" s="1"/>
  <c r="G38" i="7"/>
  <c r="G39" i="7" s="1"/>
  <c r="G40" i="7" s="1"/>
  <c r="G41" i="7" s="1"/>
  <c r="G42" i="7" s="1"/>
  <c r="G43" i="7" s="1"/>
  <c r="G44" i="7" s="1"/>
  <c r="G45" i="7" s="1"/>
  <c r="G46" i="7" s="1"/>
  <c r="G47" i="7" s="1"/>
  <c r="G48" i="7" s="1"/>
  <c r="G49" i="7" s="1"/>
  <c r="G50" i="7" s="1"/>
  <c r="G51" i="7" s="1"/>
  <c r="G52" i="7" s="1"/>
  <c r="G53" i="7" s="1"/>
  <c r="G54" i="7" s="1"/>
  <c r="G55" i="7" s="1"/>
  <c r="G56" i="7" s="1"/>
  <c r="E38" i="7"/>
  <c r="E39" i="7" s="1"/>
  <c r="E40" i="7" s="1"/>
  <c r="E41" i="7" s="1"/>
  <c r="E42" i="7" s="1"/>
  <c r="E43" i="7" s="1"/>
  <c r="E44" i="7" s="1"/>
  <c r="E45" i="7" s="1"/>
  <c r="E46" i="7" s="1"/>
  <c r="E47" i="7" s="1"/>
  <c r="E48" i="7" s="1"/>
  <c r="E49" i="7" s="1"/>
  <c r="E50" i="7" s="1"/>
  <c r="E51" i="7" s="1"/>
  <c r="E52" i="7" s="1"/>
  <c r="E53" i="7" s="1"/>
  <c r="E54" i="7" s="1"/>
  <c r="E55" i="7" s="1"/>
  <c r="E56" i="7" s="1"/>
  <c r="E57" i="7" s="1"/>
  <c r="F13" i="7"/>
  <c r="F12" i="7"/>
  <c r="F11" i="7"/>
  <c r="F10" i="7"/>
  <c r="F38" i="7" l="1"/>
  <c r="F39" i="7" s="1"/>
  <c r="F40" i="7" s="1"/>
  <c r="F41" i="7" s="1"/>
  <c r="F42" i="7" s="1"/>
  <c r="F43" i="7" s="1"/>
  <c r="F44" i="7" s="1"/>
  <c r="F45" i="7" s="1"/>
  <c r="F46" i="7" s="1"/>
  <c r="F47" i="7" s="1"/>
  <c r="F48" i="7" s="1"/>
  <c r="F49" i="7" s="1"/>
  <c r="F50" i="7" s="1"/>
  <c r="F51" i="7" s="1"/>
  <c r="F52" i="7" s="1"/>
  <c r="F53" i="7" s="1"/>
  <c r="F54" i="7" s="1"/>
  <c r="F55" i="7" s="1"/>
  <c r="F56" i="7" s="1"/>
  <c r="F57" i="7" s="1"/>
  <c r="F63" i="7"/>
  <c r="F122" i="7" s="1"/>
  <c r="G57" i="7"/>
  <c r="G58" i="7" s="1"/>
  <c r="G59" i="7" s="1"/>
  <c r="G60" i="7" s="1"/>
  <c r="G61" i="7" s="1"/>
  <c r="H64" i="7"/>
  <c r="H58" i="7"/>
  <c r="H59" i="7" s="1"/>
  <c r="H60" i="7" s="1"/>
  <c r="H61" i="7" s="1"/>
  <c r="D58" i="7"/>
  <c r="D59" i="7" s="1"/>
  <c r="D60" i="7" s="1"/>
  <c r="D61" i="7" s="1"/>
  <c r="D64" i="7" s="1"/>
  <c r="E58" i="7"/>
  <c r="E59" i="7" s="1"/>
  <c r="E60" i="7" s="1"/>
  <c r="E61" i="7" s="1"/>
  <c r="E64" i="7" s="1"/>
  <c r="F135" i="7"/>
  <c r="F143" i="7"/>
  <c r="F150" i="7"/>
  <c r="D138" i="7"/>
  <c r="D141" i="7"/>
  <c r="D147" i="7"/>
  <c r="E97" i="7"/>
  <c r="E98" i="7" s="1"/>
  <c r="E99" i="7" s="1"/>
  <c r="E100" i="7" s="1"/>
  <c r="E101" i="7" s="1"/>
  <c r="E102" i="7" s="1"/>
  <c r="E103" i="7" s="1"/>
  <c r="E104" i="7" s="1"/>
  <c r="E105" i="7" s="1"/>
  <c r="E106" i="7" s="1"/>
  <c r="E107" i="7" s="1"/>
  <c r="E108" i="7" s="1"/>
  <c r="E109" i="7" s="1"/>
  <c r="E110" i="7" s="1"/>
  <c r="E111" i="7" s="1"/>
  <c r="E112" i="7" s="1"/>
  <c r="E113" i="7" s="1"/>
  <c r="E114" i="7" s="1"/>
  <c r="E115" i="7" s="1"/>
  <c r="E116" i="7" s="1"/>
  <c r="E117" i="7" s="1"/>
  <c r="E118" i="7" s="1"/>
  <c r="E119" i="7" s="1"/>
  <c r="E120" i="7" s="1"/>
  <c r="E123" i="7" s="1"/>
  <c r="H147" i="7"/>
  <c r="E132" i="7"/>
  <c r="E133" i="7"/>
  <c r="D132" i="7"/>
  <c r="H146" i="7"/>
  <c r="H148" i="7"/>
  <c r="E134" i="7"/>
  <c r="I57" i="6"/>
  <c r="M52" i="6" s="1"/>
  <c r="H120" i="27"/>
  <c r="H118" i="27"/>
  <c r="H116" i="27"/>
  <c r="H117" i="27"/>
  <c r="K144" i="27"/>
  <c r="J144" i="27"/>
  <c r="H31" i="6"/>
  <c r="H34" i="6"/>
  <c r="H32" i="6"/>
  <c r="D149" i="7"/>
  <c r="G146" i="7"/>
  <c r="G136" i="7"/>
  <c r="D136" i="7"/>
  <c r="H138" i="7"/>
  <c r="D140" i="7"/>
  <c r="D143" i="7"/>
  <c r="D135" i="7"/>
  <c r="G141" i="7"/>
  <c r="D139" i="7"/>
  <c r="E138" i="7"/>
  <c r="G150" i="7"/>
  <c r="E150" i="7"/>
  <c r="D150" i="7"/>
  <c r="D148" i="7"/>
  <c r="G148" i="7"/>
  <c r="E147" i="7"/>
  <c r="F149" i="7"/>
  <c r="E148" i="7"/>
  <c r="D146" i="7"/>
  <c r="G147" i="7"/>
  <c r="H143" i="7"/>
  <c r="E146" i="7"/>
  <c r="E143" i="7"/>
  <c r="E145" i="7"/>
  <c r="E144" i="7"/>
  <c r="D144" i="7"/>
  <c r="D142" i="7"/>
  <c r="E142" i="7"/>
  <c r="H142" i="7"/>
  <c r="G143" i="7"/>
  <c r="G142" i="7"/>
  <c r="H139" i="7"/>
  <c r="H141" i="7"/>
  <c r="G139" i="7"/>
  <c r="G140" i="7"/>
  <c r="E141" i="7"/>
  <c r="E140" i="7"/>
  <c r="E139" i="7"/>
  <c r="G137" i="7"/>
  <c r="D137" i="7"/>
  <c r="G138" i="7"/>
  <c r="H30" i="6"/>
  <c r="F69" i="7"/>
  <c r="D133" i="7"/>
  <c r="D134" i="7"/>
  <c r="D131" i="7"/>
  <c r="D97" i="7"/>
  <c r="D98" i="7" l="1"/>
  <c r="I97" i="7"/>
  <c r="F58" i="7"/>
  <c r="F59" i="7" s="1"/>
  <c r="F60" i="7" s="1"/>
  <c r="F61" i="7" s="1"/>
  <c r="F64" i="7" s="1"/>
  <c r="G64" i="7"/>
  <c r="F144" i="7"/>
  <c r="F132" i="7"/>
  <c r="F136" i="7"/>
  <c r="H60" i="6"/>
  <c r="G16" i="6"/>
  <c r="G17" i="6" s="1"/>
  <c r="M56" i="6"/>
  <c r="M55" i="6"/>
  <c r="M54" i="6"/>
  <c r="M53" i="6"/>
  <c r="H129" i="27"/>
  <c r="I49" i="6"/>
  <c r="E125" i="7"/>
  <c r="F148" i="7"/>
  <c r="F145" i="7"/>
  <c r="F140" i="7"/>
  <c r="F142" i="7"/>
  <c r="F147" i="7"/>
  <c r="F146" i="7"/>
  <c r="F137" i="7"/>
  <c r="F138" i="7"/>
  <c r="F139" i="7"/>
  <c r="F141" i="7"/>
  <c r="J58" i="6"/>
  <c r="G134" i="7" s="1"/>
  <c r="K58" i="6"/>
  <c r="F134" i="7"/>
  <c r="F133" i="7"/>
  <c r="F97" i="7"/>
  <c r="F98" i="7" s="1"/>
  <c r="F99" i="7" s="1"/>
  <c r="F100" i="7" s="1"/>
  <c r="F101" i="7" s="1"/>
  <c r="F102" i="7" s="1"/>
  <c r="F103" i="7" s="1"/>
  <c r="F104" i="7" s="1"/>
  <c r="F105" i="7" s="1"/>
  <c r="F106" i="7" s="1"/>
  <c r="F107" i="7" s="1"/>
  <c r="F108" i="7" s="1"/>
  <c r="F109" i="7" s="1"/>
  <c r="F110" i="7" s="1"/>
  <c r="F111" i="7" s="1"/>
  <c r="F112" i="7" s="1"/>
  <c r="F113" i="7" s="1"/>
  <c r="F114" i="7" s="1"/>
  <c r="F115" i="7" s="1"/>
  <c r="F116" i="7" s="1"/>
  <c r="F117" i="7" s="1"/>
  <c r="F118" i="7" s="1"/>
  <c r="F119" i="7" s="1"/>
  <c r="F120" i="7" s="1"/>
  <c r="F123" i="7" s="1"/>
  <c r="F131" i="7"/>
  <c r="D99" i="7" l="1"/>
  <c r="I98" i="7"/>
  <c r="H131" i="7"/>
  <c r="H133" i="7"/>
  <c r="H97" i="7"/>
  <c r="H98" i="7" s="1"/>
  <c r="H99" i="7" s="1"/>
  <c r="H100" i="7" s="1"/>
  <c r="H101" i="7" s="1"/>
  <c r="H102" i="7" s="1"/>
  <c r="H103" i="7" s="1"/>
  <c r="H104" i="7" s="1"/>
  <c r="H105" i="7" s="1"/>
  <c r="H106" i="7" s="1"/>
  <c r="H107" i="7" s="1"/>
  <c r="H108" i="7" s="1"/>
  <c r="H109" i="7" s="1"/>
  <c r="H110" i="7" s="1"/>
  <c r="H111" i="7" s="1"/>
  <c r="H112" i="7" s="1"/>
  <c r="H113" i="7" s="1"/>
  <c r="H114" i="7" s="1"/>
  <c r="H115" i="7" s="1"/>
  <c r="H116" i="7" s="1"/>
  <c r="H117" i="7" s="1"/>
  <c r="H118" i="7" s="1"/>
  <c r="H119" i="7" s="1"/>
  <c r="H120" i="7" s="1"/>
  <c r="H123" i="7" s="1"/>
  <c r="H132" i="7"/>
  <c r="H134" i="7"/>
  <c r="I135" i="27"/>
  <c r="F125" i="7"/>
  <c r="E157" i="7"/>
  <c r="E163" i="7"/>
  <c r="E169" i="7"/>
  <c r="E158" i="7"/>
  <c r="E164" i="7"/>
  <c r="E170" i="7"/>
  <c r="E165" i="7"/>
  <c r="E171" i="7"/>
  <c r="E166" i="7"/>
  <c r="E172" i="7"/>
  <c r="E161" i="7"/>
  <c r="E167" i="7"/>
  <c r="E173" i="7"/>
  <c r="E174" i="7"/>
  <c r="E156" i="7"/>
  <c r="E162" i="7"/>
  <c r="E168" i="7"/>
  <c r="E155" i="7"/>
  <c r="E159" i="7"/>
  <c r="E160" i="7"/>
  <c r="G131" i="7"/>
  <c r="G97" i="7"/>
  <c r="G98" i="7" s="1"/>
  <c r="G99" i="7" s="1"/>
  <c r="G100" i="7" s="1"/>
  <c r="G101" i="7" s="1"/>
  <c r="G102" i="7" s="1"/>
  <c r="G103" i="7" s="1"/>
  <c r="G104" i="7" s="1"/>
  <c r="G105" i="7" s="1"/>
  <c r="G106" i="7" s="1"/>
  <c r="G107" i="7" s="1"/>
  <c r="G108" i="7" s="1"/>
  <c r="G109" i="7" s="1"/>
  <c r="G110" i="7" s="1"/>
  <c r="G111" i="7" s="1"/>
  <c r="G112" i="7" s="1"/>
  <c r="G113" i="7" s="1"/>
  <c r="G114" i="7" s="1"/>
  <c r="G115" i="7" s="1"/>
  <c r="G116" i="7" s="1"/>
  <c r="G117" i="7" s="1"/>
  <c r="G118" i="7" s="1"/>
  <c r="G119" i="7" s="1"/>
  <c r="G120" i="7" s="1"/>
  <c r="G123" i="7" s="1"/>
  <c r="G132" i="7"/>
  <c r="G133" i="7"/>
  <c r="M46" i="6"/>
  <c r="M45" i="6"/>
  <c r="M44" i="6"/>
  <c r="N58" i="6"/>
  <c r="M48" i="6"/>
  <c r="M47" i="6"/>
  <c r="M43" i="6"/>
  <c r="G11" i="6"/>
  <c r="G12" i="6" s="1"/>
  <c r="I58" i="6"/>
  <c r="N57" i="6" s="1"/>
  <c r="D100" i="7" l="1"/>
  <c r="I99" i="7"/>
  <c r="I144" i="27"/>
  <c r="N49" i="6"/>
  <c r="I60" i="6"/>
  <c r="G21" i="6"/>
  <c r="G22" i="6" s="1"/>
  <c r="D101" i="7" l="1"/>
  <c r="I100" i="7"/>
  <c r="D102" i="7" l="1"/>
  <c r="I101" i="7"/>
  <c r="D103" i="7" l="1"/>
  <c r="I102" i="7"/>
  <c r="D104" i="7" l="1"/>
  <c r="I103" i="7"/>
  <c r="D105" i="7" l="1"/>
  <c r="I104" i="7"/>
  <c r="D106" i="7" l="1"/>
  <c r="I105" i="7"/>
  <c r="D107" i="7" l="1"/>
  <c r="I106" i="7"/>
  <c r="D108" i="7" l="1"/>
  <c r="I107" i="7"/>
  <c r="D109" i="7" l="1"/>
  <c r="I108" i="7"/>
  <c r="D110" i="7" l="1"/>
  <c r="I109" i="7"/>
  <c r="D111" i="7" l="1"/>
  <c r="I110" i="7"/>
  <c r="D112" i="7" l="1"/>
  <c r="I111" i="7"/>
  <c r="D113" i="7" l="1"/>
  <c r="I112" i="7"/>
  <c r="D114" i="7" l="1"/>
  <c r="I113" i="7"/>
  <c r="D115" i="7" l="1"/>
  <c r="I114" i="7"/>
  <c r="D116" i="7" l="1"/>
  <c r="I115" i="7"/>
  <c r="D117" i="7" l="1"/>
  <c r="I116" i="7"/>
  <c r="D125" i="7"/>
  <c r="D118" i="7" l="1"/>
  <c r="I117" i="7"/>
  <c r="D119" i="7" l="1"/>
  <c r="I118" i="7"/>
  <c r="D120" i="7" l="1"/>
  <c r="I119" i="7"/>
  <c r="D123" i="7" l="1"/>
  <c r="I120" i="7"/>
  <c r="D158" i="7" l="1"/>
  <c r="D173" i="7"/>
  <c r="D156" i="7"/>
  <c r="D165" i="7"/>
  <c r="D168" i="7"/>
  <c r="D157" i="7"/>
  <c r="D164" i="7"/>
  <c r="D174" i="7"/>
  <c r="D171" i="7"/>
  <c r="D166" i="7"/>
  <c r="D172" i="7"/>
  <c r="D169" i="7"/>
  <c r="D161" i="7"/>
  <c r="D155" i="7"/>
  <c r="D170" i="7"/>
  <c r="D159" i="7"/>
  <c r="D162" i="7"/>
  <c r="D163" i="7"/>
  <c r="D167" i="7"/>
  <c r="D160"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<sst xmlns="http://schemas.openxmlformats.org/spreadsheetml/2006/main" count="1200" uniqueCount="331">
  <si>
    <t>This is where we will populate drop down menus and static lists</t>
  </si>
  <si>
    <t>Account Codes:</t>
  </si>
  <si>
    <t>Project Nature</t>
  </si>
  <si>
    <t>StudentRole</t>
  </si>
  <si>
    <t>First Index</t>
  </si>
  <si>
    <t>Institute</t>
  </si>
  <si>
    <t>Second Index</t>
  </si>
  <si>
    <t>Project</t>
  </si>
  <si>
    <t>Administrative</t>
  </si>
  <si>
    <t>Canadian Undergrad</t>
  </si>
  <si>
    <t>McDonald Institute</t>
  </si>
  <si>
    <t>IPDC Engineering and Design</t>
  </si>
  <si>
    <t>Item</t>
  </si>
  <si>
    <t>Account Code</t>
  </si>
  <si>
    <t>Account Code Description</t>
  </si>
  <si>
    <t>AUX Program Code</t>
  </si>
  <si>
    <t>Astrophysics</t>
  </si>
  <si>
    <t>Canadian Masters</t>
  </si>
  <si>
    <t>Queen's University Science</t>
  </si>
  <si>
    <t>IPDC Technical Staff</t>
  </si>
  <si>
    <t>Bachelor's Students - Cdn</t>
  </si>
  <si>
    <t>CUTE</t>
  </si>
  <si>
    <t>Canadian PhD</t>
  </si>
  <si>
    <t>University of Alberta</t>
  </si>
  <si>
    <t>IPDC Project Manager</t>
  </si>
  <si>
    <t>Master's Students-Cdn</t>
  </si>
  <si>
    <t>Damic</t>
  </si>
  <si>
    <t>Canadian Postdoc</t>
  </si>
  <si>
    <t>University of British Columbia</t>
  </si>
  <si>
    <t>IPDC Research Scientist</t>
  </si>
  <si>
    <t>Doctorate Students - Cdn</t>
  </si>
  <si>
    <t>DEAP/DarkSide/ARGO</t>
  </si>
  <si>
    <t>Foreign Undergrad</t>
  </si>
  <si>
    <t>Carleton University</t>
  </si>
  <si>
    <t>IPDC Admin/Other</t>
  </si>
  <si>
    <t>Post Doctoral Cdn</t>
  </si>
  <si>
    <t>HALO</t>
  </si>
  <si>
    <t>Foreign Masters</t>
  </si>
  <si>
    <t>Laurentian University</t>
  </si>
  <si>
    <t>Bachelor's Students - Foreign</t>
  </si>
  <si>
    <t>Helix</t>
  </si>
  <si>
    <t>Foreign PhD Student</t>
  </si>
  <si>
    <t>McGill University</t>
  </si>
  <si>
    <t>Master's Students - Foreign</t>
  </si>
  <si>
    <t>HyperK</t>
  </si>
  <si>
    <t>Foreign Postdoc</t>
  </si>
  <si>
    <t>Université de Montréal</t>
  </si>
  <si>
    <t>DEAP/Darkside/Argo</t>
  </si>
  <si>
    <t>Doctorate Students - Foreign</t>
  </si>
  <si>
    <t>Icecube</t>
  </si>
  <si>
    <t>University of Toronto</t>
  </si>
  <si>
    <t>Post Doctoral Foreign</t>
  </si>
  <si>
    <t>KDK</t>
  </si>
  <si>
    <t>TRIUMF</t>
  </si>
  <si>
    <t>Non-Stu &amp; Non-Post Dr Fellows</t>
  </si>
  <si>
    <t>Legend</t>
  </si>
  <si>
    <t>NonStudentRole</t>
  </si>
  <si>
    <t>SNOLAB</t>
  </si>
  <si>
    <t>Admin Prof &amp; Tech Salary</t>
  </si>
  <si>
    <t>LIGO/LISA</t>
  </si>
  <si>
    <t>Engineering or Design</t>
  </si>
  <si>
    <t>Perimeter Institute (PI)</t>
  </si>
  <si>
    <t>Mathusla</t>
  </si>
  <si>
    <t>Technical Staff</t>
  </si>
  <si>
    <t>Institute of Particle Physics (IPP)</t>
  </si>
  <si>
    <t>News-G</t>
  </si>
  <si>
    <t>Project Manager</t>
  </si>
  <si>
    <t>CIFAR</t>
  </si>
  <si>
    <t>Admin Professional</t>
  </si>
  <si>
    <t>nEXO++</t>
  </si>
  <si>
    <t>Research Scientist</t>
  </si>
  <si>
    <t>Université de Sherbrooke</t>
  </si>
  <si>
    <t>xxxxxx</t>
  </si>
  <si>
    <t>Determine on case-by-case</t>
  </si>
  <si>
    <t>Oscura</t>
  </si>
  <si>
    <t>University of Victoria</t>
  </si>
  <si>
    <t>PICO</t>
  </si>
  <si>
    <t>Other</t>
  </si>
  <si>
    <t>University of Regina</t>
  </si>
  <si>
    <t>PONE</t>
  </si>
  <si>
    <t>University of Waterloo</t>
  </si>
  <si>
    <t>Ricochet</t>
  </si>
  <si>
    <t>NonStudentRole_IPDC</t>
  </si>
  <si>
    <t>York University</t>
  </si>
  <si>
    <t>SBC</t>
  </si>
  <si>
    <t>McMaster University</t>
  </si>
  <si>
    <t>Sensei</t>
  </si>
  <si>
    <t>Simon Fraser University</t>
  </si>
  <si>
    <t>Professional Services</t>
  </si>
  <si>
    <t>Q1</t>
  </si>
  <si>
    <t>SNO+</t>
  </si>
  <si>
    <t>University of Saskatchewan</t>
  </si>
  <si>
    <t>Equipment Purchases</t>
  </si>
  <si>
    <t>Q2</t>
  </si>
  <si>
    <t>SuperCDMS</t>
  </si>
  <si>
    <t>Canadian Institute for Theoretical Astrophysics (CITA)</t>
  </si>
  <si>
    <t>Equipment Rental/Lease</t>
  </si>
  <si>
    <t>Q3</t>
  </si>
  <si>
    <t>Technical Development</t>
  </si>
  <si>
    <t>IPDC Admin</t>
  </si>
  <si>
    <t>Ontario Tech University</t>
  </si>
  <si>
    <t>Equipment Maintenance</t>
  </si>
  <si>
    <t>Q4</t>
  </si>
  <si>
    <t>Theory Astroparticle</t>
  </si>
  <si>
    <t>Computer Software And Licenses</t>
  </si>
  <si>
    <t>Theory Cosmology</t>
  </si>
  <si>
    <t>Equipment Upgrade</t>
  </si>
  <si>
    <t>Theory Nuclear</t>
  </si>
  <si>
    <t>NonSalary Items</t>
  </si>
  <si>
    <t>Technical/Lab Supplies</t>
  </si>
  <si>
    <t>Professional &amp; technical services/contracts</t>
  </si>
  <si>
    <t>Travel</t>
  </si>
  <si>
    <t>Equipment - Purchase</t>
  </si>
  <si>
    <t>Equipment - Rental</t>
  </si>
  <si>
    <t>Equipment - Operations/Maintenance</t>
  </si>
  <si>
    <t>Equipment - User fees</t>
  </si>
  <si>
    <t>Magazine Advertising</t>
  </si>
  <si>
    <t>Equipment - Other</t>
  </si>
  <si>
    <t>Experiment General</t>
  </si>
  <si>
    <t>Advertising</t>
  </si>
  <si>
    <t>Materials, supplies &amp; similar expenditures</t>
  </si>
  <si>
    <t>Theory General</t>
  </si>
  <si>
    <t>Marketing</t>
  </si>
  <si>
    <t>Travel - relating to Proposed Research (ie, visit a vendor)</t>
  </si>
  <si>
    <t>APP General</t>
  </si>
  <si>
    <t>Other Supplies</t>
  </si>
  <si>
    <t>Travel - Field Work</t>
  </si>
  <si>
    <t>ICR-Renovations &amp; Alternations</t>
  </si>
  <si>
    <t>Travel - Conferences</t>
  </si>
  <si>
    <t>ICR-Lab/Facility Supply</t>
  </si>
  <si>
    <t>Travel - Other</t>
  </si>
  <si>
    <t>XX</t>
  </si>
  <si>
    <t>TBD</t>
  </si>
  <si>
    <t>ICR-Admin Prof &amp; Tech Salary</t>
  </si>
  <si>
    <t>KMb/KT - Publication costs</t>
  </si>
  <si>
    <t>ICR</t>
  </si>
  <si>
    <t>ICR-Contracted Services</t>
  </si>
  <si>
    <t>KMb/KT - Outreach</t>
  </si>
  <si>
    <t>ICR-Professional Services</t>
  </si>
  <si>
    <t>KMb/KT - Dissemination/Other</t>
  </si>
  <si>
    <t>Administrative Costs (non-salary</t>
  </si>
  <si>
    <t>Indirect Cost Items</t>
  </si>
  <si>
    <t>Research Facilities</t>
  </si>
  <si>
    <t>Research Resources</t>
  </si>
  <si>
    <t>Management and Administration</t>
  </si>
  <si>
    <t>Regulatory Requirements and Accreditation</t>
  </si>
  <si>
    <t>Intellectual Property and Knowledge Mobilization</t>
  </si>
  <si>
    <t>Only Edit in the yellow cells. Everything else is calculated automatically</t>
  </si>
  <si>
    <t>Name of Institution:</t>
  </si>
  <si>
    <t>Invoice Number:</t>
  </si>
  <si>
    <t>Institution's Financial Contact:</t>
  </si>
  <si>
    <t>Institution's PI (for Approvals)</t>
  </si>
  <si>
    <t xml:space="preserve">Instruction package: </t>
  </si>
  <si>
    <t>Grant Year</t>
  </si>
  <si>
    <t>1) Only the cells that are highlighted in the light yellow colour should be updated by partner institution. A cell that turns red means there is an issue:</t>
  </si>
  <si>
    <t>Report Date (end date of Quarter)</t>
  </si>
  <si>
    <t>e.g.,  missing role or project, FTE % entered as a fraction / % rather than a whole number</t>
  </si>
  <si>
    <t xml:space="preserve">Report Due Date: </t>
  </si>
  <si>
    <t xml:space="preserve">2) There is a summary tracker of all quarters on the tab 'Summary' that shows the progression of agreement versus budget allocation. </t>
  </si>
  <si>
    <t xml:space="preserve">3) This form will be provided by the McDonald Institute Finance Officer in advance of any invoice submissions. </t>
  </si>
  <si>
    <t xml:space="preserve">4) Should there be any historical updates, push them through in the current invoice, Finance Officer is checking historicals versus MI ledger. </t>
  </si>
  <si>
    <t xml:space="preserve">5) NSERC has asked that we capture the amount of spending on each research project, hence the need to capture this explicitly for all personnel. </t>
  </si>
  <si>
    <t xml:space="preserve">Note: BELOW IS FOR MI INTERNAL USE ONLY… for coding JE's at Queen's to avoid errors. </t>
  </si>
  <si>
    <t>Salaries and Benefits</t>
  </si>
  <si>
    <t>Projects Being Supported (max 2)</t>
  </si>
  <si>
    <t>Primary Project</t>
  </si>
  <si>
    <t>Secondary Project</t>
  </si>
  <si>
    <r>
      <rPr>
        <b/>
        <u/>
        <sz val="12"/>
        <color theme="1"/>
        <rFont val="Arial"/>
        <family val="2"/>
      </rPr>
      <t>Students  &amp; Postdocs</t>
    </r>
    <r>
      <rPr>
        <b/>
        <sz val="14"/>
        <color theme="1"/>
        <rFont val="Arial"/>
        <family val="2"/>
      </rPr>
      <t xml:space="preserve">
</t>
    </r>
    <r>
      <rPr>
        <b/>
        <sz val="11"/>
        <color theme="1"/>
        <rFont val="Arial"/>
        <family val="2"/>
      </rPr>
      <t>Undergraduate
Masters
PhD
Postdoctoral</t>
    </r>
  </si>
  <si>
    <t>First Name</t>
  </si>
  <si>
    <t>Last Name</t>
  </si>
  <si>
    <t>HQP Status</t>
  </si>
  <si>
    <t>Salary &amp; Benefits</t>
  </si>
  <si>
    <t>Primary 
Project</t>
  </si>
  <si>
    <t>FTE %</t>
  </si>
  <si>
    <t xml:space="preserve">Secondary 
Project </t>
  </si>
  <si>
    <t>FTE %2</t>
  </si>
  <si>
    <t>Fund</t>
  </si>
  <si>
    <t>Dept</t>
  </si>
  <si>
    <t>Account</t>
  </si>
  <si>
    <t>Program</t>
  </si>
  <si>
    <t>Class</t>
  </si>
  <si>
    <t>Amount</t>
  </si>
  <si>
    <t>Amount Check</t>
  </si>
  <si>
    <t>If additional lines are needed, please insert above this row. If rows are added, McDonald Institute Finance Officer will complete the column J (FTE %) for these entries</t>
  </si>
  <si>
    <r>
      <rPr>
        <b/>
        <u/>
        <sz val="12"/>
        <color theme="1"/>
        <rFont val="Arial"/>
        <family val="2"/>
      </rPr>
      <t>Non-IPDC &amp; Non-Students</t>
    </r>
    <r>
      <rPr>
        <b/>
        <sz val="12"/>
        <color theme="1"/>
        <rFont val="Arial"/>
        <family val="2"/>
      </rPr>
      <t xml:space="preserve"> </t>
    </r>
    <r>
      <rPr>
        <b/>
        <sz val="14"/>
        <color theme="1"/>
        <rFont val="Arial"/>
        <family val="2"/>
      </rPr>
      <t xml:space="preserve">
</t>
    </r>
    <r>
      <rPr>
        <b/>
        <sz val="12"/>
        <color theme="1"/>
        <rFont val="Arial"/>
        <family val="2"/>
      </rPr>
      <t xml:space="preserve">
</t>
    </r>
    <r>
      <rPr>
        <b/>
        <sz val="11"/>
        <color theme="1"/>
        <rFont val="Arial"/>
        <family val="2"/>
      </rPr>
      <t>Research Scientist
Engineer or Technical
Project Manager
Administrative</t>
    </r>
  </si>
  <si>
    <t>Role</t>
  </si>
  <si>
    <r>
      <rPr>
        <b/>
        <u/>
        <sz val="12"/>
        <color theme="1"/>
        <rFont val="Arial"/>
        <family val="2"/>
      </rPr>
      <t xml:space="preserve">Members of IPDC </t>
    </r>
    <r>
      <rPr>
        <b/>
        <u/>
        <sz val="14"/>
        <color theme="1"/>
        <rFont val="Arial"/>
        <family val="2"/>
      </rPr>
      <t xml:space="preserve">
</t>
    </r>
    <r>
      <rPr>
        <b/>
        <sz val="10"/>
        <color theme="1"/>
        <rFont val="Arial"/>
        <family val="2"/>
      </rPr>
      <t>(Integrated Project Delivery Centre)</t>
    </r>
    <r>
      <rPr>
        <b/>
        <sz val="11"/>
        <color theme="1"/>
        <rFont val="Arial"/>
        <family val="2"/>
      </rPr>
      <t xml:space="preserve">
 </t>
    </r>
    <r>
      <rPr>
        <b/>
        <sz val="14"/>
        <color theme="1"/>
        <rFont val="Arial"/>
        <family val="2"/>
      </rPr>
      <t xml:space="preserve">
</t>
    </r>
    <r>
      <rPr>
        <b/>
        <sz val="12"/>
        <color theme="1"/>
        <rFont val="Arial"/>
        <family val="2"/>
      </rPr>
      <t xml:space="preserve">Engineering
Technical
Project Management
Research Scientist
</t>
    </r>
  </si>
  <si>
    <t>If additional lines are needed, please insert above this row</t>
  </si>
  <si>
    <t>Non Salary Direct Expenses</t>
  </si>
  <si>
    <t>Related Projects (max 2)</t>
  </si>
  <si>
    <t>Expense type</t>
  </si>
  <si>
    <t>Descriptions</t>
  </si>
  <si>
    <t>Indirect Expenses</t>
  </si>
  <si>
    <t>Institutional Contributions</t>
  </si>
  <si>
    <t>Description</t>
  </si>
  <si>
    <t>Cash Contributions</t>
  </si>
  <si>
    <t>In Kind Contributions</t>
  </si>
  <si>
    <t>Any Comments, or Notes of Clarification?</t>
  </si>
  <si>
    <r>
      <rPr>
        <b/>
        <sz val="12"/>
        <rFont val="Arial"/>
        <family val="2"/>
      </rPr>
      <t>Statement of Account</t>
    </r>
    <r>
      <rPr>
        <sz val="12"/>
        <rFont val="Arial"/>
        <family val="2"/>
      </rPr>
      <t>: Auto filled other than signature block</t>
    </r>
  </si>
  <si>
    <r>
      <rPr>
        <b/>
        <sz val="12"/>
        <rFont val="Arial"/>
        <family val="2"/>
      </rPr>
      <t>Statement of Account for MRS Budget Tables</t>
    </r>
    <r>
      <rPr>
        <sz val="12"/>
        <rFont val="Arial"/>
        <family val="2"/>
      </rPr>
      <t>: Auto filled and only for MI Finance Team</t>
    </r>
  </si>
  <si>
    <t>NSERC Grant</t>
  </si>
  <si>
    <t>Institutional Support</t>
  </si>
  <si>
    <t>DIRECT EXPENDITURES INCURRED FOR CURRENT QUARTER</t>
  </si>
  <si>
    <t>Canadian &amp;</t>
  </si>
  <si>
    <t>Foreign</t>
  </si>
  <si>
    <t>Combined</t>
  </si>
  <si>
    <t>Contributions</t>
  </si>
  <si>
    <t>Cash</t>
  </si>
  <si>
    <t>In-Kind</t>
  </si>
  <si>
    <t>1) Salaries to students (including benefits)</t>
  </si>
  <si>
    <t>Perm Res.</t>
  </si>
  <si>
    <t>Salary</t>
  </si>
  <si>
    <t>a) Bachelor's</t>
  </si>
  <si>
    <t>b) Master's</t>
  </si>
  <si>
    <t>c) Doctorate</t>
  </si>
  <si>
    <t>2) Salaries to non-students (including benefits)</t>
  </si>
  <si>
    <t xml:space="preserve">a) Postdoctoral </t>
  </si>
  <si>
    <t>b) Research Scientist</t>
  </si>
  <si>
    <t>c) Engineering /Technical Staff/Project Management</t>
  </si>
  <si>
    <t>d) Administrative Staff</t>
  </si>
  <si>
    <t>e) Other</t>
  </si>
  <si>
    <t>3) Salaries to Members of Integrated Program Delivery Office (IPDO)</t>
  </si>
  <si>
    <t>a) Research Scientist</t>
  </si>
  <si>
    <t>b) Engineering /Technical Staff/Project Management</t>
  </si>
  <si>
    <t>c) Administrative/Other</t>
  </si>
  <si>
    <t>Total Combined Salary</t>
  </si>
  <si>
    <t>4) Professional &amp; technical services/contracts</t>
  </si>
  <si>
    <t>5) Equipment</t>
  </si>
  <si>
    <t>5a) Equipment - Purchase or Rental</t>
  </si>
  <si>
    <t>6) Materials, supplies &amp; similar expenditures</t>
  </si>
  <si>
    <t>5b) Equipment - Operational and Maintenance costs</t>
  </si>
  <si>
    <t>7) Administrative Costs (non-salary)</t>
  </si>
  <si>
    <t>5c) Equipment - User Fees</t>
  </si>
  <si>
    <t>8) Travel</t>
  </si>
  <si>
    <t>5d) Equipment - Other</t>
  </si>
  <si>
    <t>Total Direct Expenditures Incurred for Current Quarter</t>
  </si>
  <si>
    <t>A     $</t>
  </si>
  <si>
    <t>7a) Travel - Field Work</t>
  </si>
  <si>
    <t>INDIRECT EXPENDITURES INCURRED FOR CURRENT QUARTER</t>
  </si>
  <si>
    <t>7b) Travel - Conferences</t>
  </si>
  <si>
    <t>7c) Travel - Proposed Research</t>
  </si>
  <si>
    <t>7d) Travel - Other</t>
  </si>
  <si>
    <t>8a) Dissemination - Publication costs</t>
  </si>
  <si>
    <t>8b) Dissemination - Outreach</t>
  </si>
  <si>
    <t>8a) Dissemination - Other</t>
  </si>
  <si>
    <t>Total Indirect Expenditures for Current Quarter</t>
  </si>
  <si>
    <t>B     $</t>
  </si>
  <si>
    <t>9) Administrative Costs (non-salary)</t>
  </si>
  <si>
    <t>Total Direct and Indirect Expenditures for Current Quarter</t>
  </si>
  <si>
    <t>C = [A + B] $</t>
  </si>
  <si>
    <t>Outstanding Commitments at Close of Quarter</t>
  </si>
  <si>
    <t>$</t>
  </si>
  <si>
    <t>SIGNATURES</t>
  </si>
  <si>
    <t>I hereby certify that the above statement is correct; that the expenditures</t>
  </si>
  <si>
    <t>I hereby certify that the expenditures summarized above were incurred</t>
  </si>
  <si>
    <t>conform to the general conditions and regulations governing grants as</t>
  </si>
  <si>
    <t>and paid wholly on behalf of the grantee, and that the vouchers are</t>
  </si>
  <si>
    <t>outlined in the Federal Granting Agency guide, and were for the purpose</t>
  </si>
  <si>
    <t>available for monitoring purposes.</t>
  </si>
  <si>
    <t>for which the grant was made.</t>
  </si>
  <si>
    <t>Grantee (or university official for GRF, SIG and ASU)</t>
  </si>
  <si>
    <t>Financial Officer</t>
  </si>
  <si>
    <t>Date</t>
  </si>
  <si>
    <r>
      <t xml:space="preserve">Please Submit:
</t>
    </r>
    <r>
      <rPr>
        <b/>
        <sz val="14"/>
        <rFont val="Symbol"/>
        <family val="1"/>
        <charset val="2"/>
      </rPr>
      <t>·</t>
    </r>
    <r>
      <rPr>
        <b/>
        <sz val="14"/>
        <rFont val="Arial"/>
        <family val="2"/>
      </rPr>
      <t xml:space="preserve"> </t>
    </r>
    <r>
      <rPr>
        <sz val="11"/>
        <rFont val="Arial"/>
        <family val="2"/>
      </rPr>
      <t xml:space="preserve">copy of signed SOA (in pdf format), 
</t>
    </r>
    <r>
      <rPr>
        <b/>
        <sz val="14"/>
        <rFont val="Symbol"/>
        <family val="1"/>
        <charset val="2"/>
      </rPr>
      <t>·</t>
    </r>
    <r>
      <rPr>
        <b/>
        <sz val="14"/>
        <rFont val="Arial"/>
        <family val="2"/>
      </rPr>
      <t xml:space="preserve"> </t>
    </r>
    <r>
      <rPr>
        <sz val="11"/>
        <rFont val="Arial"/>
        <family val="2"/>
      </rPr>
      <t xml:space="preserve">this Excel file, 
</t>
    </r>
    <r>
      <rPr>
        <b/>
        <sz val="14"/>
        <rFont val="Symbol"/>
        <family val="1"/>
        <charset val="2"/>
      </rPr>
      <t>·</t>
    </r>
    <r>
      <rPr>
        <b/>
        <sz val="14"/>
        <rFont val="Arial"/>
        <family val="2"/>
      </rPr>
      <t xml:space="preserve"> </t>
    </r>
    <r>
      <rPr>
        <sz val="11"/>
        <rFont val="Arial"/>
        <family val="2"/>
      </rPr>
      <t>and the matching Invoice to:</t>
    </r>
  </si>
  <si>
    <t>finance@mcdonaldinstitute.ca</t>
  </si>
  <si>
    <t>Eligible and ineligible expenditures</t>
  </si>
  <si>
    <t>McDonald Institute SOA Template Instructions</t>
  </si>
  <si>
    <t>NSERC Grant for IIA Partners</t>
  </si>
  <si>
    <r>
      <rPr>
        <b/>
        <sz val="11"/>
        <color theme="1"/>
        <rFont val="Arial"/>
        <family val="2"/>
      </rPr>
      <t>Purpose:</t>
    </r>
    <r>
      <rPr>
        <sz val="11"/>
        <color theme="1"/>
        <rFont val="Arial"/>
        <family val="2"/>
      </rPr>
      <t xml:space="preserve"> To help the users prepare the document and provide the details required to ensure accuracy and visibility for MI Management Team. </t>
    </r>
  </si>
  <si>
    <r>
      <rPr>
        <b/>
        <sz val="11"/>
        <color theme="1"/>
        <rFont val="Arial"/>
        <family val="2"/>
      </rPr>
      <t>Issues:</t>
    </r>
    <r>
      <rPr>
        <sz val="11"/>
        <color theme="1"/>
        <rFont val="Arial"/>
        <family val="2"/>
      </rPr>
      <t xml:space="preserve"> Based on the feedback from the existing grant, some improvements were made for both end users, but also preparers. </t>
    </r>
  </si>
  <si>
    <t xml:space="preserve">Quarterly Instructions: </t>
  </si>
  <si>
    <t xml:space="preserve">1) The Finance Officer at the Partnering Institution is responsible for preparing the Quarterly "Statement of Account" or "SOA". </t>
  </si>
  <si>
    <t xml:space="preserve">This document must be signed and completed with the invoice to ensure it can be recorded properly for MI Finance team. </t>
  </si>
  <si>
    <r>
      <t xml:space="preserve">Please allways address e-mails to the finance officer using </t>
    </r>
    <r>
      <rPr>
        <b/>
        <sz val="11"/>
        <color rgb="FF0000FF"/>
        <rFont val="Arial"/>
        <family val="2"/>
      </rPr>
      <t>finance@mcdonaldinstitute.ca</t>
    </r>
  </si>
  <si>
    <t xml:space="preserve">A) Only the yellow cells (with blue font) may be updated, and their formatting has been 'locked'. This is to avoid rounding errors from occuring between SOA and Invoice. </t>
  </si>
  <si>
    <t xml:space="preserve">B) Should changes need to be made, please reach out to the McDonald Instutute Finance team, they will make the required changes if needed and update your workbook. </t>
  </si>
  <si>
    <t xml:space="preserve">3) The Invoice Number should also be included on the SOA to agree to the number on the invoice being provided to MI (an additional matching check). </t>
  </si>
  <si>
    <r>
      <t xml:space="preserve">4) There are </t>
    </r>
    <r>
      <rPr>
        <sz val="11"/>
        <color rgb="FF00B050"/>
        <rFont val="Arial"/>
        <family val="2"/>
      </rPr>
      <t>True</t>
    </r>
    <r>
      <rPr>
        <sz val="11"/>
        <color theme="1"/>
        <rFont val="Arial"/>
        <family val="2"/>
      </rPr>
      <t xml:space="preserve"> and </t>
    </r>
    <r>
      <rPr>
        <sz val="11"/>
        <color rgb="FFFF0000"/>
        <rFont val="Arial"/>
        <family val="2"/>
      </rPr>
      <t xml:space="preserve">False </t>
    </r>
    <r>
      <rPr>
        <sz val="11"/>
        <color theme="1"/>
        <rFont val="Arial"/>
        <family val="2"/>
      </rPr>
      <t xml:space="preserve">checks on the information that will ensure the file is complete and no formulas are broken or weird rounding errors have occurred. </t>
    </r>
  </si>
  <si>
    <t xml:space="preserve">Summary Tab Information: </t>
  </si>
  <si>
    <t xml:space="preserve">1) Summary tab has been prepared to pull in the data from all of the quarters for the purpose of tracking where each partnering institution is at in relation to their spending of their IIA funding. It will track both the directs, and indirects separately. </t>
  </si>
  <si>
    <t xml:space="preserve">A) The intention of this is mostly for MI, but could potentially be used for the partners to reconcile their General Ledger as well (it will be used for that at MI). </t>
  </si>
  <si>
    <t xml:space="preserve">B) It will show "Life to Date" and "Year to Date" spending for the project and allow for an quarterly comparison in a summarized fashion. </t>
  </si>
  <si>
    <t xml:space="preserve">2) The graphs on this will be automatically generated, but they are going to be what MI reports for the Finance and Audit Committee and the Board of Directors. </t>
  </si>
  <si>
    <t xml:space="preserve">B) MI Finance Officer will be checking the current submission and prior period reports for accuracy, so if there are any prior revisions that need to be made, ithey should be completed in the current quarter. </t>
  </si>
  <si>
    <t xml:space="preserve">Reasoning: It was the best available information at the time. </t>
  </si>
  <si>
    <t>SOA Legend</t>
  </si>
  <si>
    <t>Purpose: To help with providing the breakdown of the expenses</t>
  </si>
  <si>
    <t xml:space="preserve">Indirect Expenditures Link: </t>
  </si>
  <si>
    <t>NSERC Grant - IIA Partner Spending Tracker</t>
  </si>
  <si>
    <r>
      <rPr>
        <b/>
        <sz val="11"/>
        <color theme="1"/>
        <rFont val="Arial"/>
        <family val="2"/>
      </rPr>
      <t>Purpose:</t>
    </r>
    <r>
      <rPr>
        <sz val="11"/>
        <color theme="1"/>
        <rFont val="Arial"/>
        <family val="2"/>
      </rPr>
      <t xml:space="preserve"> To track individual partner spending and reconcile it against the GL. </t>
    </r>
  </si>
  <si>
    <t>Partner:</t>
  </si>
  <si>
    <t>Individual Quarterly Budget Amounts (Updated Once)</t>
  </si>
  <si>
    <t>Year</t>
  </si>
  <si>
    <t>Quarter</t>
  </si>
  <si>
    <t>Direct Expenses</t>
  </si>
  <si>
    <t>24-25</t>
  </si>
  <si>
    <t>25-26</t>
  </si>
  <si>
    <t>26-27</t>
  </si>
  <si>
    <t>27-28</t>
  </si>
  <si>
    <t>28-29</t>
  </si>
  <si>
    <t>29-30</t>
  </si>
  <si>
    <t>Cumulative Budget Amounts (Only updated Once)</t>
  </si>
  <si>
    <t>IIA Agreement</t>
  </si>
  <si>
    <t>Difference/Remaining</t>
  </si>
  <si>
    <t>Individual Quarterly Amounts</t>
  </si>
  <si>
    <t>ICR Fraction</t>
  </si>
  <si>
    <t>Cumulative Amounts</t>
  </si>
  <si>
    <t>% Spent</t>
  </si>
  <si>
    <t>For MI Forecasting Purposes: (Average of prior 4 Qter spending)</t>
  </si>
  <si>
    <t xml:space="preserve">Wind Down Projections: </t>
  </si>
  <si>
    <t xml:space="preserve">All other cells have been locked to maintain integrity of formulas for McDonald Institute tracking purposes. </t>
  </si>
  <si>
    <t>DIRECT EXPENDITURES RECONCILITION</t>
  </si>
  <si>
    <t>Inter-Institutional Direct Expenses Allocation</t>
  </si>
  <si>
    <t>Total Cumulative Direct Expenses (across all quarters)</t>
  </si>
  <si>
    <t>Remaining Allowable Direct Expenses</t>
  </si>
  <si>
    <t>INDIRECT EXPENDITURES RECONCILITION</t>
  </si>
  <si>
    <t>Inter-Institutional Indirect Expenses Allocation</t>
  </si>
  <si>
    <t>Total Cumulative Indirect Expenses (across all quarters)</t>
  </si>
  <si>
    <t>Remaining Allowable Indirect Expenses</t>
  </si>
  <si>
    <t>Total EXPENDITURES RECONCILITION</t>
  </si>
  <si>
    <t>Inter-Institutional Combined Expenses Allocation</t>
  </si>
  <si>
    <t>Total Cumulative Combined Expenses (across all quarters)</t>
  </si>
  <si>
    <t>Remaining Allowable Combined Expenses</t>
  </si>
  <si>
    <t>FORM 300</t>
  </si>
  <si>
    <t>DIRECT EXPENDITURES INCURRED FOR ALL QUARTERS</t>
  </si>
  <si>
    <t>Combined Salary</t>
  </si>
  <si>
    <t>INDIRECT EXPENDITURES INCURRED FOR ALL QUARTERS</t>
  </si>
  <si>
    <t>Please Submit copy of signed SOA (in pdf), this Excel file and the Invoice to:</t>
  </si>
  <si>
    <t>Education</t>
  </si>
  <si>
    <t>FILL IN</t>
  </si>
  <si>
    <r>
      <t xml:space="preserve">2) Rename the "YY-YY Q#" worksheet to the reporting period (e.g., "25-26 Q2")  and record the expenses incurred in the </t>
    </r>
    <r>
      <rPr>
        <sz val="11"/>
        <color rgb="FF0000FF"/>
        <rFont val="Arial"/>
        <family val="2"/>
      </rPr>
      <t>yellow</t>
    </r>
    <r>
      <rPr>
        <sz val="11"/>
        <color theme="1"/>
        <rFont val="Arial"/>
        <family val="2"/>
      </rPr>
      <t xml:space="preserve"> cells (with blue font).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</si>
</sst>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0.00_);_(* \(#,##0.00\);_(* &quot;-&quot;??_);_(@_)"/>
    <numFmt numFmtId="164" formatCode="[$-409]mmmm\ d\,\ yyyy;@"/>
    <numFmt numFmtId="165" formatCode="&quot;$&quot;#,##0.00"/>
    <numFmt numFmtId="166" formatCode="dd/mmm/yyyy"/>
    <numFmt numFmtId="167" formatCode="0.0"/>
  </numFmts>
  <fonts count="31" x14ac:knownFonts="1">
    <font>
      <sz val="11"/>
      <color theme="1"/>
      <name val="Arial"/>
      <family val="2"/>
    </font>
    <font>
      <sz val="11"/>
      <color theme="1"/>
      <name val="Aptos Narrow"/>
      <family val="2"/>
      <scheme val="minor"/>
    </font>
    <font>
      <sz val="11"/>
      <color theme="1"/>
      <name val="Arial"/>
      <family val="2"/>
    </font>
    <font>
      <sz val="11"/>
      <color rgb="FFFF0000"/>
      <name val="Arial"/>
      <family val="2"/>
    </font>
    <font>
      <b/>
      <sz val="11"/>
      <color theme="1"/>
      <name val="Arial"/>
      <family val="2"/>
    </font>
    <font>
      <u/>
      <sz val="11"/>
      <color theme="10"/>
      <name val="Arial"/>
      <family val="2"/>
    </font>
    <font>
      <u/>
      <sz val="11"/>
      <color rgb="FF0000FF"/>
      <name val="Arial"/>
      <family val="2"/>
    </font>
    <font>
      <sz val="11"/>
      <name val="Arial"/>
      <family val="2"/>
    </font>
    <font>
      <sz val="11"/>
      <color rgb="FF00B050"/>
      <name val="Arial"/>
      <family val="2"/>
    </font>
    <font>
      <sz val="11"/>
      <color rgb="FF0000FF"/>
      <name val="Arial"/>
      <family val="2"/>
    </font>
    <font>
      <b/>
      <sz val="11"/>
      <name val="Arial"/>
      <family val="2"/>
    </font>
    <font>
      <sz val="11"/>
      <name val="Arial Narrow"/>
      <family val="2"/>
    </font>
    <font>
      <sz val="12"/>
      <color theme="1"/>
      <name val="Arial"/>
      <family val="2"/>
    </font>
    <font>
      <b/>
      <sz val="12"/>
      <color theme="1"/>
      <name val="Arial"/>
      <family val="2"/>
    </font>
    <font>
      <b/>
      <sz val="14"/>
      <color theme="1"/>
      <name val="Arial"/>
      <family val="2"/>
    </font>
    <font>
      <b/>
      <u/>
      <sz val="14"/>
      <color theme="1"/>
      <name val="Arial"/>
      <family val="2"/>
    </font>
    <font>
      <b/>
      <sz val="11"/>
      <color theme="1"/>
      <name val="Aptos Narrow"/>
      <family val="2"/>
      <scheme val="minor"/>
    </font>
    <font>
      <sz val="12"/>
      <name val="Arial"/>
      <family val="2"/>
    </font>
    <font>
      <sz val="11"/>
      <color theme="1"/>
      <name val="Aptos Display"/>
      <family val="2"/>
      <scheme val="major"/>
    </font>
    <font>
      <b/>
      <sz val="11"/>
      <color theme="1"/>
      <name val="Aptos Display"/>
      <family val="2"/>
      <scheme val="major"/>
    </font>
    <font>
      <sz val="11"/>
      <color rgb="FF0000FF"/>
      <name val="Aptos Display"/>
      <family val="2"/>
      <scheme val="major"/>
    </font>
    <font>
      <b/>
      <u/>
      <sz val="12"/>
      <color theme="1"/>
      <name val="Arial"/>
      <family val="2"/>
    </font>
    <font>
      <b/>
      <sz val="10"/>
      <color theme="1"/>
      <name val="Arial"/>
      <family val="2"/>
    </font>
    <font>
      <b/>
      <sz val="12"/>
      <name val="Arial"/>
      <family val="2"/>
    </font>
    <font>
      <sz val="10"/>
      <name val="Arial"/>
      <family val="2"/>
    </font>
    <font>
      <b/>
      <sz val="14"/>
      <name val="Symbol"/>
      <family val="1"/>
      <charset val="2"/>
    </font>
    <font>
      <b/>
      <sz val="14"/>
      <name val="Arial"/>
      <family val="2"/>
    </font>
    <font>
      <sz val="11"/>
      <color rgb="FF0000FF"/>
      <name val="Aptos Display"/>
      <family val="2"/>
    </font>
    <font>
      <sz val="8"/>
      <name val="Arial"/>
      <family val="2"/>
    </font>
    <font>
      <sz val="11"/>
      <color rgb="FFFF0000"/>
      <name val="Aptos Display"/>
      <family val="2"/>
      <scheme val="major"/>
    </font>
    <font>
      <b/>
      <sz val="11"/>
      <color rgb="FF0000FF"/>
      <name val="Arial"/>
      <family val="2"/>
    </font>
  </fonts>
  <fills count="13">
    <fill>
      <patternFill patternType="none"/>
    </fill>
    <fill>
      <patternFill patternType="gray125"/>
    </fill>
    <fill>
      <patternFill patternType="solid">
        <fgColor indexed="22"/>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3" tint="0.89999084444715716"/>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rgb="FFFFF19D"/>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theme="0" tint="-0.14999847407452621"/>
      </patternFill>
    </fill>
    <fill>
      <patternFill patternType="solid">
        <fgColor rgb="FF92D050"/>
        <bgColor indexed="64"/>
      </patternFill>
    </fill>
  </fills>
  <borders count="86">
    <border>
      <left/>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style="thin">
        <color indexed="64"/>
      </right>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style="thick">
        <color indexed="64"/>
      </right>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ck">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thick">
        <color indexed="64"/>
      </top>
      <bottom/>
      <diagonal/>
    </border>
    <border>
      <left style="mediumDashed">
        <color indexed="64"/>
      </left>
      <right style="mediumDashed">
        <color indexed="64"/>
      </right>
      <top style="thick">
        <color indexed="64"/>
      </top>
      <bottom style="medium">
        <color indexed="64"/>
      </bottom>
      <diagonal/>
    </border>
    <border>
      <left style="mediumDashed">
        <color indexed="64"/>
      </left>
      <right style="mediumDashed">
        <color indexed="64"/>
      </right>
      <top style="medium">
        <color indexed="64"/>
      </top>
      <bottom/>
      <diagonal/>
    </border>
    <border>
      <left style="mediumDashed">
        <color indexed="64"/>
      </left>
      <right style="mediumDashed">
        <color indexed="64"/>
      </right>
      <top/>
      <bottom/>
      <diagonal/>
    </border>
    <border>
      <left style="mediumDashed">
        <color indexed="64"/>
      </left>
      <right style="mediumDashed">
        <color indexed="64"/>
      </right>
      <top/>
      <bottom style="thick">
        <color indexed="64"/>
      </bottom>
      <diagonal/>
    </border>
    <border>
      <left/>
      <right style="thick">
        <color indexed="64"/>
      </right>
      <top style="thick">
        <color indexed="64"/>
      </top>
      <bottom style="medium">
        <color indexed="64"/>
      </bottom>
      <diagonal/>
    </border>
    <border>
      <left/>
      <right style="thick">
        <color indexed="64"/>
      </right>
      <top style="medium">
        <color indexed="64"/>
      </top>
      <bottom/>
      <diagonal/>
    </border>
    <border>
      <left/>
      <right style="mediumDashed">
        <color indexed="64"/>
      </right>
      <top style="thick">
        <color indexed="64"/>
      </top>
      <bottom style="medium">
        <color indexed="64"/>
      </bottom>
      <diagonal/>
    </border>
    <border>
      <left/>
      <right style="mediumDashed">
        <color indexed="64"/>
      </right>
      <top style="medium">
        <color indexed="64"/>
      </top>
      <bottom/>
      <diagonal/>
    </border>
    <border>
      <left/>
      <right style="mediumDashed">
        <color indexed="64"/>
      </right>
      <top/>
      <bottom/>
      <diagonal/>
    </border>
    <border>
      <left/>
      <right style="mediumDashed">
        <color indexed="64"/>
      </right>
      <top/>
      <bottom style="thick">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mediumDashed">
        <color indexed="64"/>
      </left>
      <right style="thick">
        <color indexed="64"/>
      </right>
      <top/>
      <bottom/>
      <diagonal/>
    </border>
    <border>
      <left style="medium">
        <color indexed="64"/>
      </left>
      <right/>
      <top style="thick">
        <color indexed="64"/>
      </top>
      <bottom/>
      <diagonal/>
    </border>
    <border>
      <left/>
      <right/>
      <top style="thin">
        <color theme="7"/>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thick">
        <color indexed="64"/>
      </bottom>
      <diagonal/>
    </border>
    <border>
      <left style="mediumDashed">
        <color indexed="64"/>
      </left>
      <right/>
      <top style="thick">
        <color indexed="64"/>
      </top>
      <bottom/>
      <diagonal/>
    </border>
    <border>
      <left style="mediumDashed">
        <color indexed="64"/>
      </left>
      <right style="thick">
        <color indexed="64"/>
      </right>
      <top style="thick">
        <color indexed="64"/>
      </top>
      <bottom/>
      <diagonal/>
    </border>
    <border>
      <left style="mediumDashed">
        <color indexed="64"/>
      </left>
      <right/>
      <top style="medium">
        <color indexed="64"/>
      </top>
      <bottom/>
      <diagonal/>
    </border>
    <border>
      <left style="mediumDashed">
        <color indexed="64"/>
      </left>
      <right style="thick">
        <color indexed="64"/>
      </right>
      <top style="medium">
        <color indexed="64"/>
      </top>
      <bottom/>
      <diagonal/>
    </border>
    <border>
      <left style="mediumDashed">
        <color indexed="64"/>
      </left>
      <right/>
      <top/>
      <bottom/>
      <diagonal/>
    </border>
    <border>
      <left style="mediumDashed">
        <color indexed="64"/>
      </left>
      <right/>
      <top/>
      <bottom style="thick">
        <color indexed="64"/>
      </bottom>
      <diagonal/>
    </border>
    <border>
      <left style="mediumDashed">
        <color indexed="64"/>
      </left>
      <right style="medium">
        <color indexed="64"/>
      </right>
      <top/>
      <bottom style="thick">
        <color indexed="64"/>
      </bottom>
      <diagonal/>
    </border>
    <border>
      <left/>
      <right style="medium">
        <color indexed="64"/>
      </right>
      <top style="thick">
        <color indexed="64"/>
      </top>
      <bottom/>
      <diagonal/>
    </border>
    <border>
      <left style="medium">
        <color indexed="64"/>
      </left>
      <right style="medium">
        <color indexed="64"/>
      </right>
      <top style="thin">
        <color theme="1"/>
      </top>
      <bottom/>
      <diagonal/>
    </border>
    <border>
      <left/>
      <right/>
      <top/>
      <bottom style="thick">
        <color indexed="64"/>
      </bottom>
      <diagonal/>
    </border>
    <border>
      <left style="medium">
        <color indexed="64"/>
      </left>
      <right style="medium">
        <color indexed="64"/>
      </right>
      <top style="thin">
        <color theme="4" tint="0.39997558519241921"/>
      </top>
      <bottom style="thin">
        <color theme="4" tint="0.39997558519241921"/>
      </bottom>
      <diagonal/>
    </border>
    <border>
      <left style="medium">
        <color indexed="64"/>
      </left>
      <right/>
      <top style="medium">
        <color indexed="64"/>
      </top>
      <bottom style="thin">
        <color theme="4" tint="0.39997558519241921"/>
      </bottom>
      <diagonal/>
    </border>
    <border>
      <left style="medium">
        <color indexed="64"/>
      </left>
      <right/>
      <top style="thin">
        <color theme="4" tint="0.39997558519241921"/>
      </top>
      <bottom style="thin">
        <color theme="4" tint="0.39997558519241921"/>
      </bottom>
      <diagonal/>
    </border>
    <border>
      <left/>
      <right style="medium">
        <color indexed="64"/>
      </right>
      <top style="thin">
        <color theme="4" tint="0.39997558519241921"/>
      </top>
      <bottom style="thin">
        <color theme="4" tint="0.39997558519241921"/>
      </bottom>
      <diagonal/>
    </border>
    <border>
      <left/>
      <right style="medium">
        <color indexed="64"/>
      </right>
      <top style="thin">
        <color theme="4" tint="0.39997558519241921"/>
      </top>
      <bottom style="medium">
        <color indexed="64"/>
      </bottom>
      <diagonal/>
    </border>
    <border>
      <left style="mediumDashed">
        <color indexed="64"/>
      </left>
      <right/>
      <top style="thin">
        <color theme="4" tint="0.39997558519241921"/>
      </top>
      <bottom style="thin">
        <color theme="4" tint="0.39997558519241921"/>
      </bottom>
      <diagonal/>
    </border>
    <border>
      <left style="medium">
        <color indexed="64"/>
      </left>
      <right/>
      <top style="thin">
        <color theme="4" tint="0.39997558519241921"/>
      </top>
      <bottom style="medium">
        <color indexed="64"/>
      </bottom>
      <diagonal/>
    </border>
    <border>
      <left style="thin">
        <color theme="4"/>
      </left>
      <right style="thin">
        <color theme="4"/>
      </right>
      <top/>
      <bottom/>
      <diagonal/>
    </border>
    <border>
      <left style="mediumDashed">
        <color indexed="64"/>
      </left>
      <right style="medium">
        <color indexed="64"/>
      </right>
      <top style="medium">
        <color indexed="64"/>
      </top>
      <bottom/>
      <diagonal/>
    </border>
    <border>
      <left style="medium">
        <color indexed="64"/>
      </left>
      <right style="mediumDashed">
        <color indexed="64"/>
      </right>
      <top style="medium">
        <color indexed="64"/>
      </top>
      <bottom/>
      <diagonal/>
    </border>
    <border>
      <left style="mediumDashed">
        <color indexed="64"/>
      </left>
      <right/>
      <top/>
      <bottom style="medium">
        <color indexed="64"/>
      </bottom>
      <diagonal/>
    </border>
    <border>
      <left/>
      <right/>
      <top style="thin">
        <color theme="4" tint="0.39997558519241921"/>
      </top>
      <bottom style="thin">
        <color theme="4" tint="0.39997558519241921"/>
      </bottom>
      <diagonal/>
    </border>
    <border>
      <left/>
      <right/>
      <top style="thin">
        <color theme="4" tint="0.39997558519241921"/>
      </top>
      <bottom style="medium">
        <color indexed="64"/>
      </bottom>
      <diagonal/>
    </border>
    <border>
      <left/>
      <right/>
      <top style="medium">
        <color indexed="64"/>
      </top>
      <bottom style="thin">
        <color theme="4" tint="0.39997558519241921"/>
      </bottom>
      <diagonal/>
    </border>
    <border>
      <left/>
      <right style="medium">
        <color indexed="64"/>
      </right>
      <top style="medium">
        <color indexed="64"/>
      </top>
      <bottom style="thin">
        <color theme="4" tint="0.39997558519241921"/>
      </bottom>
      <diagonal/>
    </border>
    <border>
      <left style="medium">
        <color indexed="64"/>
      </left>
      <right/>
      <top/>
      <bottom style="thin">
        <color theme="4" tint="0.39997558519241921"/>
      </bottom>
      <diagonal/>
    </border>
    <border>
      <left/>
      <right/>
      <top/>
      <bottom style="thin">
        <color theme="4" tint="0.39997558519241921"/>
      </bottom>
      <diagonal/>
    </border>
    <border>
      <left/>
      <right style="medium">
        <color indexed="64"/>
      </right>
      <top/>
      <bottom style="thin">
        <color theme="4" tint="0.39997558519241921"/>
      </bottom>
      <diagonal/>
    </border>
    <border>
      <left style="mediumDashed">
        <color indexed="64"/>
      </left>
      <right style="mediumDashed">
        <color indexed="64"/>
      </right>
      <top style="medium">
        <color indexed="64"/>
      </top>
      <bottom style="thin">
        <color theme="4" tint="0.39997558519241921"/>
      </bottom>
      <diagonal/>
    </border>
    <border>
      <left style="mediumDashed">
        <color indexed="64"/>
      </left>
      <right style="mediumDashed">
        <color indexed="64"/>
      </right>
      <top style="thin">
        <color theme="4" tint="0.39997558519241921"/>
      </top>
      <bottom style="thin">
        <color theme="4" tint="0.39997558519241921"/>
      </bottom>
      <diagonal/>
    </border>
    <border>
      <left style="mediumDashed">
        <color indexed="64"/>
      </left>
      <right style="medium">
        <color indexed="64"/>
      </right>
      <top style="thin">
        <color theme="4" tint="0.39997558519241921"/>
      </top>
      <bottom style="thin">
        <color theme="4" tint="0.39997558519241921"/>
      </bottom>
      <diagonal/>
    </border>
    <border>
      <left style="mediumDashed">
        <color indexed="64"/>
      </left>
      <right style="mediumDashed">
        <color indexed="64"/>
      </right>
      <top style="thin">
        <color theme="4" tint="0.39997558519241921"/>
      </top>
      <bottom style="medium">
        <color indexed="64"/>
      </bottom>
      <diagonal/>
    </border>
    <border>
      <left style="mediumDashed">
        <color indexed="64"/>
      </left>
      <right style="medium">
        <color indexed="64"/>
      </right>
      <top/>
      <bottom style="medium">
        <color indexed="64"/>
      </bottom>
      <diagonal/>
    </border>
  </borders>
  <cellStyleXfs count="5">
    <xf numFmtId="0" fontId="0" fillId="0" borderId="0"/>
    <xf numFmtId="43" fontId="2" fillId="0" borderId="0" applyFont="0" applyFill="0" applyBorder="0" applyAlignment="0" applyProtection="0"/>
    <xf numFmtId="0" fontId="5" fillId="0" borderId="0" applyNumberFormat="0" applyFill="0" applyBorder="0" applyAlignment="0" applyProtection="0"/>
    <xf numFmtId="9" fontId="2" fillId="0" borderId="0" applyFont="0" applyFill="0" applyBorder="0" applyAlignment="0" applyProtection="0"/>
    <xf numFmtId="0" fontId="24" fillId="0" borderId="0"/>
  </cellStyleXfs>
  <cellXfs count="398">
    <xf numFmtId="0" fontId="0" fillId="0" borderId="0" xfId="0"/>
    <xf numFmtId="0" fontId="0" fillId="0" borderId="0" xfId="0" applyAlignment="1">
      <alignment horizontal="center"/>
    </xf>
    <xf numFmtId="0" fontId="0" fillId="0" borderId="0" xfId="0" quotePrefix="1"/>
    <xf numFmtId="0" fontId="6" fillId="0" borderId="1" xfId="2" applyFont="1" applyBorder="1"/>
    <xf numFmtId="0" fontId="4" fillId="0" borderId="0" xfId="0" applyFont="1"/>
    <xf numFmtId="43" fontId="0" fillId="0" borderId="0" xfId="0" applyNumberFormat="1"/>
    <xf numFmtId="0" fontId="10" fillId="5" borderId="7" xfId="0" applyFont="1" applyFill="1" applyBorder="1"/>
    <xf numFmtId="0" fontId="10" fillId="5" borderId="8" xfId="0" applyFont="1" applyFill="1" applyBorder="1"/>
    <xf numFmtId="0" fontId="7" fillId="5" borderId="8" xfId="0" applyFont="1" applyFill="1" applyBorder="1"/>
    <xf numFmtId="0" fontId="10" fillId="5" borderId="8" xfId="0" applyFont="1" applyFill="1" applyBorder="1" applyAlignment="1">
      <alignment horizontal="right"/>
    </xf>
    <xf numFmtId="0" fontId="7" fillId="0" borderId="3" xfId="0" applyFont="1" applyBorder="1"/>
    <xf numFmtId="0" fontId="7" fillId="0" borderId="14" xfId="0" applyFont="1" applyBorder="1"/>
    <xf numFmtId="0" fontId="7" fillId="0" borderId="1" xfId="0" applyFont="1" applyBorder="1"/>
    <xf numFmtId="0" fontId="10" fillId="0" borderId="11" xfId="0" applyFont="1" applyBorder="1" applyAlignment="1">
      <alignment horizontal="center"/>
    </xf>
    <xf numFmtId="0" fontId="10" fillId="0" borderId="11" xfId="0" applyFont="1" applyBorder="1"/>
    <xf numFmtId="0" fontId="7" fillId="0" borderId="11" xfId="0" applyFont="1" applyBorder="1"/>
    <xf numFmtId="0" fontId="7" fillId="0" borderId="7" xfId="0" applyFont="1" applyBorder="1" applyAlignment="1">
      <alignment horizontal="left" indent="1"/>
    </xf>
    <xf numFmtId="0" fontId="7" fillId="0" borderId="8" xfId="0" applyFont="1" applyBorder="1"/>
    <xf numFmtId="0" fontId="0" fillId="0" borderId="9" xfId="0" applyBorder="1"/>
    <xf numFmtId="0" fontId="7" fillId="0" borderId="7" xfId="0" applyFont="1" applyBorder="1"/>
    <xf numFmtId="0" fontId="0" fillId="0" borderId="8" xfId="0" applyBorder="1"/>
    <xf numFmtId="43" fontId="7" fillId="0" borderId="8" xfId="1" applyFont="1" applyBorder="1"/>
    <xf numFmtId="43" fontId="7" fillId="0" borderId="9" xfId="1" applyFont="1" applyBorder="1"/>
    <xf numFmtId="43" fontId="7" fillId="6" borderId="13" xfId="1" applyFont="1" applyFill="1" applyBorder="1"/>
    <xf numFmtId="0" fontId="10" fillId="0" borderId="7" xfId="0" applyFont="1" applyBorder="1" applyAlignment="1">
      <alignment horizontal="left"/>
    </xf>
    <xf numFmtId="43" fontId="7" fillId="0" borderId="8" xfId="1" applyFont="1" applyFill="1" applyBorder="1"/>
    <xf numFmtId="43" fontId="7" fillId="0" borderId="14" xfId="1" applyFont="1" applyBorder="1"/>
    <xf numFmtId="0" fontId="10" fillId="0" borderId="7" xfId="0" applyFont="1" applyBorder="1"/>
    <xf numFmtId="0" fontId="10" fillId="0" borderId="9" xfId="0" applyFont="1" applyBorder="1" applyAlignment="1">
      <alignment horizontal="right"/>
    </xf>
    <xf numFmtId="0" fontId="7" fillId="0" borderId="5" xfId="0" applyFont="1" applyBorder="1" applyAlignment="1">
      <alignment horizontal="left" indent="1"/>
    </xf>
    <xf numFmtId="0" fontId="7" fillId="0" borderId="12" xfId="0" applyFont="1" applyBorder="1"/>
    <xf numFmtId="0" fontId="10" fillId="0" borderId="5" xfId="0" applyFont="1" applyBorder="1"/>
    <xf numFmtId="0" fontId="7" fillId="0" borderId="5" xfId="0" applyFont="1" applyBorder="1"/>
    <xf numFmtId="0" fontId="11" fillId="0" borderId="12" xfId="0" applyFont="1" applyBorder="1"/>
    <xf numFmtId="0" fontId="10" fillId="0" borderId="12" xfId="0" applyFont="1" applyBorder="1" applyAlignment="1">
      <alignment horizontal="right"/>
    </xf>
    <xf numFmtId="0" fontId="10" fillId="2" borderId="5" xfId="0" applyFont="1" applyFill="1" applyBorder="1"/>
    <xf numFmtId="0" fontId="7" fillId="2" borderId="12" xfId="0" applyFont="1" applyFill="1" applyBorder="1"/>
    <xf numFmtId="0" fontId="10" fillId="2" borderId="12" xfId="0" applyFont="1" applyFill="1" applyBorder="1" applyAlignment="1">
      <alignment horizontal="right"/>
    </xf>
    <xf numFmtId="43" fontId="7" fillId="2" borderId="12" xfId="1" applyFont="1" applyFill="1" applyBorder="1"/>
    <xf numFmtId="0" fontId="7" fillId="2" borderId="6" xfId="0" applyFont="1" applyFill="1" applyBorder="1"/>
    <xf numFmtId="0" fontId="11" fillId="0" borderId="1" xfId="0" applyFont="1" applyBorder="1"/>
    <xf numFmtId="0" fontId="11" fillId="0" borderId="0" xfId="0" applyFont="1"/>
    <xf numFmtId="0" fontId="11" fillId="0" borderId="4" xfId="0" applyFont="1" applyBorder="1"/>
    <xf numFmtId="0" fontId="7" fillId="0" borderId="0" xfId="0" applyFont="1"/>
    <xf numFmtId="0" fontId="7" fillId="0" borderId="4" xfId="0" applyFont="1" applyBorder="1"/>
    <xf numFmtId="0" fontId="7" fillId="0" borderId="6" xfId="0" applyFont="1" applyBorder="1"/>
    <xf numFmtId="0" fontId="12" fillId="0" borderId="0" xfId="0" applyFont="1"/>
    <xf numFmtId="0" fontId="0" fillId="0" borderId="6" xfId="0" applyBorder="1"/>
    <xf numFmtId="43" fontId="7" fillId="7" borderId="13" xfId="1" applyFont="1" applyFill="1" applyBorder="1"/>
    <xf numFmtId="43" fontId="10" fillId="7" borderId="13" xfId="1" applyFont="1" applyFill="1" applyBorder="1"/>
    <xf numFmtId="0" fontId="5" fillId="0" borderId="0" xfId="2"/>
    <xf numFmtId="0" fontId="11" fillId="0" borderId="8" xfId="0" applyFont="1" applyBorder="1"/>
    <xf numFmtId="0" fontId="4" fillId="0" borderId="7" xfId="0" applyFont="1" applyBorder="1" applyAlignment="1">
      <alignment horizontal="centerContinuous"/>
    </xf>
    <xf numFmtId="0" fontId="4" fillId="0" borderId="3" xfId="0" applyFont="1" applyBorder="1" applyAlignment="1">
      <alignment horizontal="centerContinuous"/>
    </xf>
    <xf numFmtId="0" fontId="0" fillId="0" borderId="14" xfId="0" applyBorder="1" applyAlignment="1">
      <alignment horizontal="centerContinuous"/>
    </xf>
    <xf numFmtId="0" fontId="0" fillId="0" borderId="2" xfId="0" applyBorder="1" applyAlignment="1">
      <alignment horizontal="centerContinuous"/>
    </xf>
    <xf numFmtId="0" fontId="0" fillId="0" borderId="4" xfId="0" applyBorder="1"/>
    <xf numFmtId="0" fontId="10" fillId="0" borderId="16" xfId="0" applyFont="1" applyBorder="1" applyAlignment="1">
      <alignment horizontal="center"/>
    </xf>
    <xf numFmtId="43" fontId="7" fillId="5" borderId="8" xfId="1" applyFont="1" applyFill="1" applyBorder="1"/>
    <xf numFmtId="0" fontId="10" fillId="5" borderId="9" xfId="0" applyFont="1" applyFill="1" applyBorder="1"/>
    <xf numFmtId="0" fontId="4" fillId="0" borderId="9" xfId="0" applyFont="1" applyBorder="1" applyAlignment="1">
      <alignment horizontal="centerContinuous"/>
    </xf>
    <xf numFmtId="0" fontId="10" fillId="0" borderId="10" xfId="0" applyFont="1" applyBorder="1" applyAlignment="1">
      <alignment horizontal="center"/>
    </xf>
    <xf numFmtId="0" fontId="10" fillId="0" borderId="3" xfId="0" applyFont="1" applyBorder="1"/>
    <xf numFmtId="0" fontId="10" fillId="0" borderId="2" xfId="0" applyFont="1" applyBorder="1" applyAlignment="1">
      <alignment horizontal="right"/>
    </xf>
    <xf numFmtId="43" fontId="10" fillId="7" borderId="10" xfId="1" applyFont="1" applyFill="1" applyBorder="1"/>
    <xf numFmtId="0" fontId="10" fillId="0" borderId="14" xfId="0" applyFont="1" applyBorder="1" applyAlignment="1">
      <alignment horizontal="right"/>
    </xf>
    <xf numFmtId="0" fontId="0" fillId="0" borderId="0" xfId="0" applyAlignment="1" applyProtection="1">
      <alignment horizontal="center" vertical="center"/>
      <protection locked="0"/>
    </xf>
    <xf numFmtId="0" fontId="10" fillId="0" borderId="0" xfId="0" applyFont="1"/>
    <xf numFmtId="0" fontId="10" fillId="0" borderId="0" xfId="0" applyFont="1" applyAlignment="1">
      <alignment horizontal="center"/>
    </xf>
    <xf numFmtId="43" fontId="4" fillId="0" borderId="15" xfId="0" applyNumberFormat="1" applyFont="1" applyBorder="1"/>
    <xf numFmtId="9" fontId="0" fillId="0" borderId="0" xfId="3" applyFont="1"/>
    <xf numFmtId="0" fontId="9" fillId="3" borderId="13" xfId="0" applyFont="1" applyFill="1" applyBorder="1" applyProtection="1">
      <protection locked="0"/>
    </xf>
    <xf numFmtId="43" fontId="9" fillId="3" borderId="11" xfId="1" applyFont="1" applyFill="1" applyBorder="1" applyProtection="1">
      <protection locked="0"/>
    </xf>
    <xf numFmtId="0" fontId="0" fillId="0" borderId="17" xfId="0" applyBorder="1"/>
    <xf numFmtId="0" fontId="4" fillId="0" borderId="0" xfId="0" applyFont="1" applyAlignment="1">
      <alignment horizontal="center" vertical="center"/>
    </xf>
    <xf numFmtId="0" fontId="16" fillId="8" borderId="0" xfId="0" applyFont="1" applyFill="1" applyAlignment="1">
      <alignment horizontal="center"/>
    </xf>
    <xf numFmtId="0" fontId="0" fillId="0" borderId="49" xfId="0" applyBorder="1" applyAlignment="1">
      <alignment horizontal="center"/>
    </xf>
    <xf numFmtId="0" fontId="1" fillId="0" borderId="0" xfId="0" applyFont="1" applyAlignment="1">
      <alignment horizontal="center"/>
    </xf>
    <xf numFmtId="0" fontId="0" fillId="0" borderId="49" xfId="0" applyBorder="1"/>
    <xf numFmtId="0" fontId="7" fillId="0" borderId="0" xfId="4" applyFont="1"/>
    <xf numFmtId="43" fontId="7" fillId="5" borderId="8" xfId="1" applyFont="1" applyFill="1" applyBorder="1" applyProtection="1"/>
    <xf numFmtId="43" fontId="2" fillId="7" borderId="13" xfId="1" applyFont="1" applyFill="1" applyBorder="1" applyProtection="1"/>
    <xf numFmtId="43" fontId="2" fillId="0" borderId="8" xfId="1" applyFont="1" applyBorder="1" applyProtection="1"/>
    <xf numFmtId="43" fontId="2" fillId="0" borderId="9" xfId="1" applyFont="1" applyBorder="1" applyProtection="1"/>
    <xf numFmtId="43" fontId="2" fillId="6" borderId="13" xfId="1" applyFont="1" applyFill="1" applyBorder="1" applyProtection="1"/>
    <xf numFmtId="43" fontId="2" fillId="0" borderId="8" xfId="1" applyFont="1" applyFill="1" applyBorder="1" applyProtection="1"/>
    <xf numFmtId="43" fontId="2" fillId="0" borderId="9" xfId="1" applyFont="1" applyFill="1" applyBorder="1" applyProtection="1"/>
    <xf numFmtId="43" fontId="2" fillId="0" borderId="14" xfId="1" applyFont="1" applyFill="1" applyBorder="1" applyProtection="1"/>
    <xf numFmtId="43" fontId="2" fillId="0" borderId="2" xfId="1" applyFont="1" applyFill="1" applyBorder="1" applyProtection="1"/>
    <xf numFmtId="43" fontId="7" fillId="0" borderId="8" xfId="1" applyFont="1" applyBorder="1" applyProtection="1"/>
    <xf numFmtId="43" fontId="4" fillId="7" borderId="13" xfId="1" applyFont="1" applyFill="1" applyBorder="1" applyProtection="1"/>
    <xf numFmtId="43" fontId="2" fillId="0" borderId="14" xfId="1" applyFont="1" applyBorder="1" applyProtection="1"/>
    <xf numFmtId="43" fontId="10" fillId="7" borderId="10" xfId="1" applyFont="1" applyFill="1" applyBorder="1" applyProtection="1"/>
    <xf numFmtId="43" fontId="10" fillId="7" borderId="13" xfId="1" applyFont="1" applyFill="1" applyBorder="1" applyProtection="1"/>
    <xf numFmtId="43" fontId="7" fillId="2" borderId="12" xfId="1" applyFont="1" applyFill="1" applyBorder="1" applyProtection="1"/>
    <xf numFmtId="0" fontId="6" fillId="0" borderId="1" xfId="2" applyFont="1" applyBorder="1" applyProtection="1"/>
    <xf numFmtId="0" fontId="5" fillId="0" borderId="0" xfId="2" applyProtection="1"/>
    <xf numFmtId="0" fontId="0" fillId="3" borderId="19" xfId="0" applyFill="1" applyBorder="1" applyAlignment="1" applyProtection="1">
      <alignment horizontal="center" vertical="center"/>
      <protection locked="0"/>
    </xf>
    <xf numFmtId="49" fontId="20" fillId="3" borderId="29" xfId="0" applyNumberFormat="1" applyFont="1" applyFill="1" applyBorder="1" applyAlignment="1" applyProtection="1">
      <alignment horizontal="left"/>
      <protection locked="0"/>
    </xf>
    <xf numFmtId="0" fontId="20" fillId="3" borderId="38" xfId="0" applyFont="1" applyFill="1" applyBorder="1" applyAlignment="1" applyProtection="1">
      <alignment horizontal="left"/>
      <protection locked="0"/>
    </xf>
    <xf numFmtId="0" fontId="9" fillId="3" borderId="32" xfId="0" applyFont="1" applyFill="1" applyBorder="1" applyProtection="1">
      <protection locked="0"/>
    </xf>
    <xf numFmtId="0" fontId="9" fillId="3" borderId="36" xfId="0" applyFont="1" applyFill="1" applyBorder="1" applyProtection="1">
      <protection locked="0"/>
    </xf>
    <xf numFmtId="0" fontId="20" fillId="3" borderId="39" xfId="0" applyFont="1" applyFill="1" applyBorder="1" applyAlignment="1" applyProtection="1">
      <alignment horizontal="left"/>
      <protection locked="0"/>
    </xf>
    <xf numFmtId="0" fontId="9" fillId="3" borderId="33" xfId="0" applyFont="1" applyFill="1" applyBorder="1" applyProtection="1">
      <protection locked="0"/>
    </xf>
    <xf numFmtId="0" fontId="9" fillId="3" borderId="18" xfId="0" applyFont="1" applyFill="1" applyBorder="1" applyProtection="1">
      <protection locked="0"/>
    </xf>
    <xf numFmtId="0" fontId="9" fillId="3" borderId="47" xfId="0" applyFont="1" applyFill="1" applyBorder="1" applyProtection="1">
      <protection locked="0"/>
    </xf>
    <xf numFmtId="43" fontId="4" fillId="0" borderId="0" xfId="0" applyNumberFormat="1" applyFont="1"/>
    <xf numFmtId="14" fontId="0" fillId="0" borderId="0" xfId="0" applyNumberFormat="1"/>
    <xf numFmtId="0" fontId="4" fillId="0" borderId="16" xfId="0" applyFont="1" applyBorder="1" applyAlignment="1">
      <alignment horizontal="center"/>
    </xf>
    <xf numFmtId="43" fontId="10" fillId="7" borderId="16" xfId="1" applyFont="1" applyFill="1" applyBorder="1" applyProtection="1"/>
    <xf numFmtId="43" fontId="7" fillId="6" borderId="0" xfId="1" applyFont="1" applyFill="1" applyBorder="1" applyProtection="1"/>
    <xf numFmtId="43" fontId="0" fillId="6" borderId="0" xfId="1" applyFont="1" applyFill="1" applyBorder="1" applyProtection="1"/>
    <xf numFmtId="43" fontId="10" fillId="7" borderId="7" xfId="1" applyFont="1" applyFill="1" applyBorder="1" applyProtection="1"/>
    <xf numFmtId="0" fontId="10" fillId="5" borderId="14" xfId="0" applyFont="1" applyFill="1" applyBorder="1"/>
    <xf numFmtId="0" fontId="7" fillId="5" borderId="2" xfId="0" applyFont="1" applyFill="1" applyBorder="1"/>
    <xf numFmtId="43" fontId="10" fillId="7" borderId="11" xfId="1" applyFont="1" applyFill="1" applyBorder="1" applyProtection="1"/>
    <xf numFmtId="43" fontId="10" fillId="6" borderId="0" xfId="1" applyFont="1" applyFill="1" applyBorder="1" applyProtection="1"/>
    <xf numFmtId="43" fontId="7" fillId="6" borderId="0" xfId="1" applyFont="1" applyFill="1" applyBorder="1"/>
    <xf numFmtId="43" fontId="7" fillId="6" borderId="1" xfId="1" applyFont="1" applyFill="1" applyBorder="1"/>
    <xf numFmtId="43" fontId="7" fillId="6" borderId="5" xfId="1" applyFont="1" applyFill="1" applyBorder="1"/>
    <xf numFmtId="43" fontId="10" fillId="7" borderId="7" xfId="1" applyFont="1" applyFill="1" applyBorder="1"/>
    <xf numFmtId="43" fontId="10" fillId="7" borderId="11" xfId="1" applyFont="1" applyFill="1" applyBorder="1"/>
    <xf numFmtId="43" fontId="10" fillId="6" borderId="0" xfId="1" applyFont="1" applyFill="1" applyBorder="1"/>
    <xf numFmtId="43" fontId="7" fillId="0" borderId="4" xfId="1" applyFont="1" applyFill="1" applyBorder="1"/>
    <xf numFmtId="43" fontId="7" fillId="0" borderId="10" xfId="1" applyFont="1" applyFill="1" applyBorder="1"/>
    <xf numFmtId="43" fontId="7" fillId="0" borderId="13" xfId="1" applyFont="1" applyFill="1" applyBorder="1"/>
    <xf numFmtId="43" fontId="7" fillId="0" borderId="4" xfId="1" applyFont="1" applyFill="1" applyBorder="1" applyProtection="1"/>
    <xf numFmtId="43" fontId="7" fillId="0" borderId="0" xfId="1" applyFont="1" applyFill="1" applyBorder="1" applyProtection="1"/>
    <xf numFmtId="43" fontId="7" fillId="0" borderId="1" xfId="1" applyFont="1" applyFill="1" applyBorder="1" applyProtection="1"/>
    <xf numFmtId="43" fontId="7" fillId="0" borderId="5" xfId="1" applyFont="1" applyFill="1" applyBorder="1" applyProtection="1"/>
    <xf numFmtId="0" fontId="0" fillId="9" borderId="0" xfId="0" applyFill="1"/>
    <xf numFmtId="43" fontId="7" fillId="0" borderId="9" xfId="1" applyFont="1" applyFill="1" applyBorder="1"/>
    <xf numFmtId="0" fontId="7" fillId="0" borderId="0" xfId="0" applyFont="1" applyAlignment="1">
      <alignment horizontal="center"/>
    </xf>
    <xf numFmtId="4" fontId="0" fillId="0" borderId="0" xfId="0" applyNumberFormat="1"/>
    <xf numFmtId="0" fontId="0" fillId="0" borderId="0" xfId="0" applyAlignment="1">
      <alignment horizontal="centerContinuous"/>
    </xf>
    <xf numFmtId="0" fontId="4" fillId="0" borderId="0" xfId="0" applyFont="1" applyAlignment="1">
      <alignment horizontal="center"/>
    </xf>
    <xf numFmtId="43" fontId="9" fillId="6" borderId="0" xfId="1" applyFont="1" applyFill="1" applyBorder="1" applyProtection="1"/>
    <xf numFmtId="0" fontId="4" fillId="0" borderId="0" xfId="0" applyFont="1" applyAlignment="1">
      <alignment horizontal="centerContinuous"/>
    </xf>
    <xf numFmtId="43" fontId="0" fillId="4" borderId="0" xfId="1" applyFont="1" applyFill="1" applyProtection="1"/>
    <xf numFmtId="0" fontId="4" fillId="0" borderId="0" xfId="0" applyFont="1" applyAlignment="1">
      <alignment horizontal="right"/>
    </xf>
    <xf numFmtId="43" fontId="0" fillId="4" borderId="0" xfId="0" applyNumberFormat="1" applyFill="1"/>
    <xf numFmtId="0" fontId="0" fillId="4" borderId="0" xfId="0" applyFill="1"/>
    <xf numFmtId="4" fontId="0" fillId="4" borderId="0" xfId="0" applyNumberFormat="1" applyFill="1"/>
    <xf numFmtId="9" fontId="0" fillId="0" borderId="0" xfId="3" applyFont="1" applyProtection="1"/>
    <xf numFmtId="0" fontId="4" fillId="0" borderId="0" xfId="0" applyFont="1" applyAlignment="1">
      <alignment horizontal="left"/>
    </xf>
    <xf numFmtId="0" fontId="0" fillId="0" borderId="0" xfId="0" applyAlignment="1">
      <alignment horizontal="left"/>
    </xf>
    <xf numFmtId="4" fontId="20" fillId="3" borderId="23" xfId="0" applyNumberFormat="1" applyFont="1" applyFill="1" applyBorder="1" applyAlignment="1" applyProtection="1">
      <alignment horizontal="right" indent="1"/>
      <protection locked="0"/>
    </xf>
    <xf numFmtId="49" fontId="20" fillId="3" borderId="23" xfId="0" applyNumberFormat="1" applyFont="1" applyFill="1" applyBorder="1" applyAlignment="1" applyProtection="1">
      <alignment horizontal="left"/>
      <protection locked="0"/>
    </xf>
    <xf numFmtId="4" fontId="20" fillId="3" borderId="22" xfId="0" applyNumberFormat="1" applyFont="1" applyFill="1" applyBorder="1" applyAlignment="1" applyProtection="1">
      <alignment horizontal="right" indent="1"/>
      <protection locked="0"/>
    </xf>
    <xf numFmtId="49" fontId="20" fillId="3" borderId="45" xfId="0" applyNumberFormat="1" applyFont="1" applyFill="1" applyBorder="1" applyAlignment="1" applyProtection="1">
      <alignment horizontal="left"/>
      <protection locked="0"/>
    </xf>
    <xf numFmtId="4" fontId="20" fillId="3" borderId="45" xfId="0" applyNumberFormat="1" applyFont="1" applyFill="1" applyBorder="1" applyAlignment="1" applyProtection="1">
      <alignment horizontal="right" indent="1"/>
      <protection locked="0"/>
    </xf>
    <xf numFmtId="0" fontId="20" fillId="3" borderId="45" xfId="0" applyFont="1" applyFill="1" applyBorder="1" applyAlignment="1" applyProtection="1">
      <alignment horizontal="left"/>
      <protection locked="0"/>
    </xf>
    <xf numFmtId="0" fontId="9" fillId="3" borderId="55" xfId="0" applyFont="1" applyFill="1" applyBorder="1" applyProtection="1">
      <protection locked="0"/>
    </xf>
    <xf numFmtId="0" fontId="9" fillId="3" borderId="56" xfId="0" applyFont="1" applyFill="1" applyBorder="1" applyProtection="1">
      <protection locked="0"/>
    </xf>
    <xf numFmtId="49" fontId="20" fillId="3" borderId="22" xfId="0" applyNumberFormat="1" applyFont="1" applyFill="1" applyBorder="1" applyAlignment="1" applyProtection="1">
      <alignment horizontal="left"/>
      <protection locked="0"/>
    </xf>
    <xf numFmtId="0" fontId="20" fillId="3" borderId="22" xfId="0" applyFont="1" applyFill="1" applyBorder="1" applyAlignment="1" applyProtection="1">
      <alignment horizontal="left"/>
      <protection locked="0"/>
    </xf>
    <xf numFmtId="0" fontId="9" fillId="3" borderId="57" xfId="0" applyFont="1" applyFill="1" applyBorder="1" applyProtection="1">
      <protection locked="0"/>
    </xf>
    <xf numFmtId="49" fontId="20" fillId="3" borderId="20" xfId="0" applyNumberFormat="1" applyFont="1" applyFill="1" applyBorder="1" applyAlignment="1" applyProtection="1">
      <alignment horizontal="left"/>
      <protection locked="0"/>
    </xf>
    <xf numFmtId="49" fontId="20" fillId="3" borderId="0" xfId="0" applyNumberFormat="1" applyFont="1" applyFill="1" applyAlignment="1" applyProtection="1">
      <alignment horizontal="left"/>
      <protection locked="0"/>
    </xf>
    <xf numFmtId="4" fontId="20" fillId="3" borderId="29" xfId="0" applyNumberFormat="1" applyFont="1" applyFill="1" applyBorder="1" applyAlignment="1" applyProtection="1">
      <alignment horizontal="right" indent="1"/>
      <protection locked="0"/>
    </xf>
    <xf numFmtId="167" fontId="20" fillId="3" borderId="32" xfId="0" applyNumberFormat="1" applyFont="1" applyFill="1" applyBorder="1" applyAlignment="1" applyProtection="1">
      <alignment horizontal="center"/>
      <protection locked="0"/>
    </xf>
    <xf numFmtId="167" fontId="20" fillId="3" borderId="33" xfId="0" applyNumberFormat="1" applyFont="1" applyFill="1" applyBorder="1" applyAlignment="1" applyProtection="1">
      <alignment horizontal="center"/>
      <protection locked="0"/>
    </xf>
    <xf numFmtId="0" fontId="0" fillId="0" borderId="70" xfId="0" applyBorder="1"/>
    <xf numFmtId="4" fontId="20" fillId="3" borderId="46" xfId="0" applyNumberFormat="1" applyFont="1" applyFill="1" applyBorder="1" applyAlignment="1" applyProtection="1">
      <alignment horizontal="right" indent="1"/>
      <protection locked="0"/>
    </xf>
    <xf numFmtId="0" fontId="20" fillId="3" borderId="72" xfId="0" applyFont="1" applyFill="1" applyBorder="1" applyAlignment="1" applyProtection="1">
      <alignment horizontal="left"/>
      <protection locked="0"/>
    </xf>
    <xf numFmtId="0" fontId="20" fillId="3" borderId="46" xfId="0" applyFont="1" applyFill="1" applyBorder="1" applyAlignment="1" applyProtection="1">
      <alignment horizontal="left"/>
      <protection locked="0"/>
    </xf>
    <xf numFmtId="0" fontId="9" fillId="3" borderId="73" xfId="0" applyFont="1" applyFill="1" applyBorder="1" applyProtection="1">
      <protection locked="0"/>
    </xf>
    <xf numFmtId="4" fontId="20" fillId="3" borderId="28" xfId="0" applyNumberFormat="1" applyFont="1" applyFill="1" applyBorder="1" applyAlignment="1" applyProtection="1">
      <alignment horizontal="right" indent="1"/>
      <protection locked="0"/>
    </xf>
    <xf numFmtId="4" fontId="20" fillId="3" borderId="63" xfId="0" applyNumberFormat="1" applyFont="1" applyFill="1" applyBorder="1" applyAlignment="1" applyProtection="1">
      <alignment horizontal="right" indent="1"/>
      <protection locked="0"/>
    </xf>
    <xf numFmtId="0" fontId="10" fillId="9" borderId="19" xfId="0" applyFont="1" applyFill="1" applyBorder="1" applyAlignment="1">
      <alignment horizontal="center" vertical="center" wrapText="1"/>
    </xf>
    <xf numFmtId="15" fontId="10" fillId="9" borderId="19" xfId="0" applyNumberFormat="1" applyFont="1" applyFill="1" applyBorder="1" applyAlignment="1">
      <alignment horizontal="center" vertical="center" wrapText="1"/>
    </xf>
    <xf numFmtId="0" fontId="10" fillId="9" borderId="26" xfId="0" applyFont="1" applyFill="1" applyBorder="1" applyAlignment="1">
      <alignment horizontal="center" vertical="center" wrapText="1"/>
    </xf>
    <xf numFmtId="0" fontId="10" fillId="9" borderId="37" xfId="0" applyFont="1" applyFill="1" applyBorder="1" applyAlignment="1">
      <alignment horizontal="center" vertical="center" wrapText="1"/>
    </xf>
    <xf numFmtId="0" fontId="10" fillId="9" borderId="31" xfId="0" applyFont="1" applyFill="1" applyBorder="1" applyAlignment="1">
      <alignment horizontal="center" vertical="center" wrapText="1"/>
    </xf>
    <xf numFmtId="167" fontId="20" fillId="3" borderId="81" xfId="0" applyNumberFormat="1" applyFont="1" applyFill="1" applyBorder="1" applyAlignment="1" applyProtection="1">
      <alignment horizontal="center"/>
      <protection locked="0"/>
    </xf>
    <xf numFmtId="167" fontId="20" fillId="3" borderId="82" xfId="0" applyNumberFormat="1" applyFont="1" applyFill="1" applyBorder="1" applyAlignment="1" applyProtection="1">
      <alignment horizontal="center"/>
      <protection locked="0"/>
    </xf>
    <xf numFmtId="4" fontId="20" fillId="3" borderId="65" xfId="0" applyNumberFormat="1" applyFont="1" applyFill="1" applyBorder="1" applyAlignment="1" applyProtection="1">
      <alignment horizontal="right" indent="1"/>
      <protection locked="0"/>
    </xf>
    <xf numFmtId="0" fontId="20" fillId="3" borderId="65" xfId="0" applyFont="1" applyFill="1" applyBorder="1" applyAlignment="1" applyProtection="1">
      <alignment horizontal="left"/>
      <protection locked="0"/>
    </xf>
    <xf numFmtId="0" fontId="9" fillId="3" borderId="68" xfId="0" applyFont="1" applyFill="1" applyBorder="1" applyProtection="1">
      <protection locked="0"/>
    </xf>
    <xf numFmtId="0" fontId="10" fillId="9" borderId="35" xfId="0" applyFont="1" applyFill="1" applyBorder="1" applyAlignment="1">
      <alignment horizontal="center" vertical="center" wrapText="1"/>
    </xf>
    <xf numFmtId="0" fontId="9" fillId="10" borderId="68" xfId="0" applyFont="1" applyFill="1" applyBorder="1" applyAlignment="1">
      <alignment horizontal="center"/>
    </xf>
    <xf numFmtId="0" fontId="10" fillId="9" borderId="19" xfId="0" applyFont="1" applyFill="1" applyBorder="1" applyAlignment="1">
      <alignment horizontal="center" vertical="center"/>
    </xf>
    <xf numFmtId="15" fontId="10" fillId="9" borderId="50" xfId="0" applyNumberFormat="1" applyFont="1" applyFill="1" applyBorder="1" applyAlignment="1">
      <alignment horizontal="center" vertical="center"/>
    </xf>
    <xf numFmtId="0" fontId="9" fillId="3" borderId="71" xfId="0" applyFont="1" applyFill="1" applyBorder="1" applyProtection="1">
      <protection locked="0"/>
    </xf>
    <xf numFmtId="0" fontId="9" fillId="3" borderId="85" xfId="0" applyFont="1" applyFill="1" applyBorder="1" applyProtection="1">
      <protection locked="0"/>
    </xf>
    <xf numFmtId="0" fontId="0" fillId="0" borderId="0" xfId="0" applyAlignment="1">
      <alignment horizontal="center" vertical="center"/>
    </xf>
    <xf numFmtId="0" fontId="0" fillId="9" borderId="19" xfId="0" applyFill="1" applyBorder="1" applyAlignment="1">
      <alignment horizontal="center" vertical="center"/>
    </xf>
    <xf numFmtId="166" fontId="0" fillId="9" borderId="19" xfId="0" applyNumberFormat="1" applyFill="1" applyBorder="1" applyAlignment="1">
      <alignment horizontal="center" vertical="center"/>
    </xf>
    <xf numFmtId="15" fontId="0" fillId="0" borderId="0" xfId="0" applyNumberFormat="1" applyAlignment="1">
      <alignment horizontal="centerContinuous"/>
    </xf>
    <xf numFmtId="49" fontId="18" fillId="0" borderId="0" xfId="0" applyNumberFormat="1" applyFont="1" applyAlignment="1">
      <alignment horizontal="left"/>
    </xf>
    <xf numFmtId="0" fontId="18" fillId="0" borderId="0" xfId="0" applyFont="1" applyAlignment="1">
      <alignment horizontal="left"/>
    </xf>
    <xf numFmtId="0" fontId="13" fillId="0" borderId="0" xfId="0" applyFont="1" applyAlignment="1">
      <alignment horizontal="left" indent="1"/>
    </xf>
    <xf numFmtId="0" fontId="0" fillId="0" borderId="24" xfId="0" applyBorder="1" applyAlignment="1">
      <alignment horizontal="left" vertical="center"/>
    </xf>
    <xf numFmtId="49" fontId="18" fillId="0" borderId="0" xfId="0" applyNumberFormat="1" applyFont="1" applyAlignment="1">
      <alignment horizontal="left" vertical="center"/>
    </xf>
    <xf numFmtId="0" fontId="18" fillId="0" borderId="0" xfId="0" applyFont="1" applyAlignment="1">
      <alignment horizontal="left" vertical="center"/>
    </xf>
    <xf numFmtId="0" fontId="0" fillId="0" borderId="22" xfId="0" applyBorder="1" applyAlignment="1">
      <alignment vertical="center"/>
    </xf>
    <xf numFmtId="0" fontId="0" fillId="0" borderId="0" xfId="0" applyAlignment="1">
      <alignment vertical="center"/>
    </xf>
    <xf numFmtId="0" fontId="4" fillId="0" borderId="45" xfId="0" applyFont="1" applyBorder="1" applyAlignment="1">
      <alignment horizontal="left" vertical="center"/>
    </xf>
    <xf numFmtId="0" fontId="4" fillId="0" borderId="20" xfId="0" applyFont="1" applyBorder="1" applyAlignment="1">
      <alignment horizontal="left" vertical="center"/>
    </xf>
    <xf numFmtId="0" fontId="4" fillId="0" borderId="21" xfId="0" applyFont="1" applyBorder="1" applyAlignment="1">
      <alignment horizontal="left" vertical="center"/>
    </xf>
    <xf numFmtId="0" fontId="4" fillId="0" borderId="44" xfId="0" applyFont="1" applyBorder="1" applyAlignment="1">
      <alignment vertical="center"/>
    </xf>
    <xf numFmtId="167" fontId="9" fillId="10" borderId="32" xfId="0" applyNumberFormat="1" applyFont="1" applyFill="1" applyBorder="1" applyAlignment="1">
      <alignment horizontal="center"/>
    </xf>
    <xf numFmtId="0" fontId="0" fillId="11" borderId="48" xfId="0" applyFill="1" applyBorder="1" applyAlignment="1">
      <alignment horizontal="center" vertical="center"/>
    </xf>
    <xf numFmtId="0" fontId="0" fillId="11" borderId="30" xfId="0" applyFill="1" applyBorder="1" applyAlignment="1">
      <alignment horizontal="center" vertical="center"/>
    </xf>
    <xf numFmtId="0" fontId="0" fillId="11" borderId="30" xfId="0" applyFill="1" applyBorder="1" applyAlignment="1">
      <alignment horizontal="center"/>
    </xf>
    <xf numFmtId="165" fontId="0" fillId="11" borderId="60" xfId="0" applyNumberFormat="1" applyFill="1" applyBorder="1"/>
    <xf numFmtId="0" fontId="0" fillId="11" borderId="61" xfId="0" applyFill="1" applyBorder="1"/>
    <xf numFmtId="167" fontId="9" fillId="10" borderId="33" xfId="0" applyNumberFormat="1" applyFont="1" applyFill="1" applyBorder="1" applyAlignment="1">
      <alignment horizontal="center"/>
    </xf>
    <xf numFmtId="0" fontId="0" fillId="0" borderId="22" xfId="0" applyBorder="1" applyAlignment="1">
      <alignment horizontal="center" vertical="center"/>
    </xf>
    <xf numFmtId="165" fontId="0" fillId="0" borderId="23" xfId="0" applyNumberFormat="1" applyBorder="1"/>
    <xf numFmtId="0" fontId="0" fillId="0" borderId="29" xfId="0" applyBorder="1"/>
    <xf numFmtId="0" fontId="0" fillId="11" borderId="22" xfId="0" applyFill="1" applyBorder="1" applyAlignment="1">
      <alignment horizontal="center" vertical="center"/>
    </xf>
    <xf numFmtId="0" fontId="0" fillId="11" borderId="0" xfId="0" applyFill="1" applyAlignment="1">
      <alignment horizontal="center" vertical="center"/>
    </xf>
    <xf numFmtId="0" fontId="0" fillId="11" borderId="0" xfId="0" applyFill="1" applyAlignment="1">
      <alignment horizontal="center"/>
    </xf>
    <xf numFmtId="165" fontId="0" fillId="11" borderId="23" xfId="0" applyNumberFormat="1" applyFill="1" applyBorder="1"/>
    <xf numFmtId="0" fontId="0" fillId="11" borderId="29" xfId="0" applyFill="1" applyBorder="1"/>
    <xf numFmtId="0" fontId="9" fillId="10" borderId="34" xfId="0" applyFont="1" applyFill="1" applyBorder="1" applyAlignment="1">
      <alignment horizontal="center"/>
    </xf>
    <xf numFmtId="0" fontId="0" fillId="11" borderId="46" xfId="0" applyFill="1" applyBorder="1" applyAlignment="1">
      <alignment horizontal="center" vertical="center"/>
    </xf>
    <xf numFmtId="0" fontId="0" fillId="11" borderId="24" xfId="0" applyFill="1" applyBorder="1" applyAlignment="1">
      <alignment horizontal="center" vertical="center"/>
    </xf>
    <xf numFmtId="0" fontId="0" fillId="11" borderId="24" xfId="0" applyFill="1" applyBorder="1" applyAlignment="1">
      <alignment horizontal="center"/>
    </xf>
    <xf numFmtId="165" fontId="0" fillId="11" borderId="25" xfId="0" applyNumberFormat="1" applyFill="1" applyBorder="1"/>
    <xf numFmtId="0" fontId="0" fillId="11" borderId="28" xfId="0" applyFill="1" applyBorder="1"/>
    <xf numFmtId="0" fontId="0" fillId="0" borderId="20" xfId="0" applyBorder="1" applyAlignment="1">
      <alignment horizontal="center"/>
    </xf>
    <xf numFmtId="0" fontId="18" fillId="0" borderId="30" xfId="0" applyFont="1" applyBorder="1" applyAlignment="1">
      <alignment horizontal="left"/>
    </xf>
    <xf numFmtId="165" fontId="0" fillId="0" borderId="0" xfId="0" applyNumberFormat="1"/>
    <xf numFmtId="165" fontId="0" fillId="0" borderId="0" xfId="0" applyNumberFormat="1" applyAlignment="1">
      <alignment vertical="center"/>
    </xf>
    <xf numFmtId="0" fontId="10" fillId="9" borderId="20" xfId="0" applyFont="1" applyFill="1" applyBorder="1" applyAlignment="1">
      <alignment horizontal="center" vertical="center"/>
    </xf>
    <xf numFmtId="0" fontId="10" fillId="9" borderId="45" xfId="0" applyFont="1" applyFill="1" applyBorder="1" applyAlignment="1">
      <alignment horizontal="center" vertical="center"/>
    </xf>
    <xf numFmtId="15" fontId="10" fillId="9" borderId="45" xfId="0" applyNumberFormat="1" applyFont="1" applyFill="1" applyBorder="1" applyAlignment="1">
      <alignment horizontal="center" vertical="center"/>
    </xf>
    <xf numFmtId="0" fontId="10" fillId="9" borderId="45" xfId="0" applyFont="1" applyFill="1" applyBorder="1" applyAlignment="1">
      <alignment horizontal="center" vertical="center" wrapText="1"/>
    </xf>
    <xf numFmtId="0" fontId="10" fillId="9" borderId="48" xfId="0" applyFont="1" applyFill="1" applyBorder="1" applyAlignment="1">
      <alignment horizontal="center" vertical="center" wrapText="1"/>
    </xf>
    <xf numFmtId="0" fontId="10" fillId="9" borderId="54" xfId="0" applyFont="1" applyFill="1" applyBorder="1" applyAlignment="1">
      <alignment horizontal="center" vertical="center" wrapText="1"/>
    </xf>
    <xf numFmtId="0" fontId="9" fillId="10" borderId="55" xfId="0" applyFont="1" applyFill="1" applyBorder="1" applyAlignment="1">
      <alignment horizontal="center"/>
    </xf>
    <xf numFmtId="0" fontId="9" fillId="10" borderId="57" xfId="0" applyFont="1" applyFill="1" applyBorder="1" applyAlignment="1">
      <alignment horizontal="center"/>
    </xf>
    <xf numFmtId="0" fontId="9" fillId="10" borderId="58" xfId="0" applyFont="1" applyFill="1" applyBorder="1" applyAlignment="1">
      <alignment horizontal="center"/>
    </xf>
    <xf numFmtId="0" fontId="0" fillId="0" borderId="46" xfId="0" applyBorder="1" applyAlignment="1">
      <alignment horizontal="center" vertical="center"/>
    </xf>
    <xf numFmtId="0" fontId="0" fillId="0" borderId="24" xfId="0" applyBorder="1" applyAlignment="1">
      <alignment horizontal="center" vertical="center"/>
    </xf>
    <xf numFmtId="0" fontId="0" fillId="0" borderId="24" xfId="0" applyBorder="1" applyAlignment="1">
      <alignment horizontal="center"/>
    </xf>
    <xf numFmtId="165" fontId="0" fillId="0" borderId="25" xfId="0" applyNumberFormat="1" applyBorder="1"/>
    <xf numFmtId="0" fontId="0" fillId="0" borderId="28" xfId="0" applyBorder="1"/>
    <xf numFmtId="49" fontId="18" fillId="0" borderId="30" xfId="0" applyNumberFormat="1" applyFont="1" applyBorder="1" applyAlignment="1">
      <alignment horizontal="left"/>
    </xf>
    <xf numFmtId="0" fontId="10" fillId="9" borderId="26" xfId="0" applyFont="1" applyFill="1" applyBorder="1" applyAlignment="1">
      <alignment horizontal="center" vertical="center"/>
    </xf>
    <xf numFmtId="0" fontId="4" fillId="0" borderId="0" xfId="0" applyFont="1" applyAlignment="1">
      <alignment vertical="center"/>
    </xf>
    <xf numFmtId="0" fontId="18" fillId="0" borderId="0" xfId="0" applyFont="1" applyAlignment="1">
      <alignment horizontal="center"/>
    </xf>
    <xf numFmtId="165" fontId="0" fillId="0" borderId="23" xfId="0" applyNumberFormat="1" applyBorder="1" applyAlignment="1">
      <alignment vertical="center"/>
    </xf>
    <xf numFmtId="165" fontId="0" fillId="11" borderId="23" xfId="0" applyNumberFormat="1" applyFill="1" applyBorder="1" applyAlignment="1">
      <alignment vertical="center"/>
    </xf>
    <xf numFmtId="165" fontId="0" fillId="11" borderId="25" xfId="0" applyNumberFormat="1" applyFill="1" applyBorder="1" applyAlignment="1">
      <alignment vertical="center"/>
    </xf>
    <xf numFmtId="49" fontId="18" fillId="0" borderId="0" xfId="0" applyNumberFormat="1" applyFont="1"/>
    <xf numFmtId="0" fontId="19" fillId="0" borderId="0" xfId="0" applyFont="1" applyAlignment="1">
      <alignment vertical="center"/>
    </xf>
    <xf numFmtId="0" fontId="19" fillId="0" borderId="0" xfId="0" applyFont="1" applyAlignment="1">
      <alignment horizontal="center" vertical="center"/>
    </xf>
    <xf numFmtId="0" fontId="4" fillId="9" borderId="50" xfId="0" applyFont="1" applyFill="1" applyBorder="1" applyAlignment="1">
      <alignment horizontal="center"/>
    </xf>
    <xf numFmtId="0" fontId="4" fillId="9" borderId="51" xfId="0" applyFont="1" applyFill="1" applyBorder="1"/>
    <xf numFmtId="0" fontId="4" fillId="9" borderId="26" xfId="0" applyFont="1" applyFill="1" applyBorder="1"/>
    <xf numFmtId="0" fontId="10" fillId="9" borderId="45" xfId="0" applyFont="1" applyFill="1" applyBorder="1" applyAlignment="1">
      <alignment horizontal="center"/>
    </xf>
    <xf numFmtId="0" fontId="10" fillId="9" borderId="55" xfId="0" applyFont="1" applyFill="1" applyBorder="1" applyAlignment="1">
      <alignment horizontal="center" vertical="center" wrapText="1"/>
    </xf>
    <xf numFmtId="0" fontId="10" fillId="9" borderId="71" xfId="0" applyFont="1" applyFill="1" applyBorder="1" applyAlignment="1">
      <alignment horizontal="center" vertical="center" wrapText="1"/>
    </xf>
    <xf numFmtId="0" fontId="9" fillId="10" borderId="32" xfId="0" applyFont="1" applyFill="1" applyBorder="1" applyAlignment="1">
      <alignment horizontal="center"/>
    </xf>
    <xf numFmtId="165" fontId="0" fillId="11" borderId="60" xfId="0" applyNumberFormat="1" applyFill="1" applyBorder="1" applyAlignment="1">
      <alignment vertical="center"/>
    </xf>
    <xf numFmtId="0" fontId="17" fillId="9" borderId="22" xfId="0" applyFont="1" applyFill="1" applyBorder="1" applyAlignment="1">
      <alignment horizontal="left" indent="3"/>
    </xf>
    <xf numFmtId="0" fontId="17" fillId="9" borderId="0" xfId="0" applyFont="1" applyFill="1" applyAlignment="1">
      <alignment horizontal="left" indent="3"/>
    </xf>
    <xf numFmtId="0" fontId="17" fillId="9" borderId="46" xfId="0" applyFont="1" applyFill="1" applyBorder="1" applyAlignment="1">
      <alignment horizontal="left" indent="3"/>
    </xf>
    <xf numFmtId="0" fontId="17" fillId="9" borderId="24" xfId="0" applyFont="1" applyFill="1" applyBorder="1" applyAlignment="1">
      <alignment horizontal="left" indent="3"/>
    </xf>
    <xf numFmtId="0" fontId="9" fillId="10" borderId="73" xfId="0" applyFont="1" applyFill="1" applyBorder="1" applyAlignment="1">
      <alignment horizontal="center"/>
    </xf>
    <xf numFmtId="49" fontId="18" fillId="0" borderId="0" xfId="0" applyNumberFormat="1" applyFont="1" applyAlignment="1">
      <alignment horizontal="centerContinuous"/>
    </xf>
    <xf numFmtId="0" fontId="18" fillId="0" borderId="0" xfId="0" applyFont="1"/>
    <xf numFmtId="0" fontId="4" fillId="9" borderId="19" xfId="0" applyFont="1" applyFill="1" applyBorder="1" applyAlignment="1">
      <alignment horizontal="center"/>
    </xf>
    <xf numFmtId="0" fontId="0" fillId="0" borderId="0" xfId="0" applyAlignment="1">
      <alignment horizontal="left" vertical="center"/>
    </xf>
    <xf numFmtId="49" fontId="18" fillId="0" borderId="24" xfId="0" applyNumberFormat="1" applyFont="1" applyBorder="1" applyAlignment="1">
      <alignment horizontal="left"/>
    </xf>
    <xf numFmtId="49" fontId="18" fillId="0" borderId="24" xfId="0" applyNumberFormat="1" applyFont="1" applyBorder="1" applyAlignment="1">
      <alignment horizontal="centerContinuous"/>
    </xf>
    <xf numFmtId="0" fontId="18" fillId="0" borderId="24" xfId="0" applyFont="1" applyBorder="1"/>
    <xf numFmtId="0" fontId="0" fillId="0" borderId="24" xfId="0" applyBorder="1"/>
    <xf numFmtId="49" fontId="18" fillId="0" borderId="24" xfId="0" applyNumberFormat="1" applyFont="1" applyBorder="1"/>
    <xf numFmtId="0" fontId="17" fillId="0" borderId="0" xfId="0" applyFont="1" applyAlignment="1">
      <alignment horizontal="left" indent="3"/>
    </xf>
    <xf numFmtId="4" fontId="20" fillId="0" borderId="0" xfId="0" applyNumberFormat="1" applyFont="1" applyAlignment="1">
      <alignment horizontal="right" indent="2"/>
    </xf>
    <xf numFmtId="0" fontId="0" fillId="0" borderId="23" xfId="0" applyBorder="1"/>
    <xf numFmtId="49" fontId="18" fillId="0" borderId="20" xfId="0" applyNumberFormat="1" applyFont="1" applyBorder="1"/>
    <xf numFmtId="49" fontId="18" fillId="0" borderId="20" xfId="0" applyNumberFormat="1" applyFont="1" applyBorder="1" applyAlignment="1">
      <alignment horizontal="left"/>
    </xf>
    <xf numFmtId="49" fontId="18" fillId="0" borderId="20" xfId="0" applyNumberFormat="1" applyFont="1" applyBorder="1" applyAlignment="1">
      <alignment horizontal="centerContinuous"/>
    </xf>
    <xf numFmtId="0" fontId="18" fillId="0" borderId="20" xfId="0" applyFont="1" applyBorder="1"/>
    <xf numFmtId="0" fontId="2" fillId="0" borderId="14" xfId="0" applyFont="1" applyBorder="1"/>
    <xf numFmtId="0" fontId="4" fillId="0" borderId="2" xfId="0" applyFont="1" applyBorder="1" applyAlignment="1">
      <alignment horizontal="right"/>
    </xf>
    <xf numFmtId="0" fontId="4" fillId="0" borderId="14" xfId="0" applyFont="1" applyBorder="1" applyAlignment="1">
      <alignment horizontal="right"/>
    </xf>
    <xf numFmtId="0" fontId="0" fillId="0" borderId="14" xfId="0" applyBorder="1"/>
    <xf numFmtId="0" fontId="2" fillId="5" borderId="8" xfId="0" applyFont="1" applyFill="1" applyBorder="1"/>
    <xf numFmtId="0" fontId="4" fillId="5" borderId="8" xfId="0" applyFont="1" applyFill="1" applyBorder="1" applyAlignment="1">
      <alignment horizontal="right"/>
    </xf>
    <xf numFmtId="0" fontId="2" fillId="0" borderId="12" xfId="0" applyFont="1" applyBorder="1"/>
    <xf numFmtId="0" fontId="2" fillId="0" borderId="8" xfId="0" applyFont="1" applyBorder="1"/>
    <xf numFmtId="43" fontId="9" fillId="0" borderId="11" xfId="1" applyFont="1" applyFill="1" applyBorder="1" applyProtection="1"/>
    <xf numFmtId="167" fontId="20" fillId="3" borderId="84" xfId="0" applyNumberFormat="1" applyFont="1" applyFill="1" applyBorder="1" applyAlignment="1" applyProtection="1">
      <alignment horizontal="center"/>
      <protection locked="0"/>
    </xf>
    <xf numFmtId="0" fontId="9" fillId="3" borderId="83" xfId="0" applyFont="1" applyFill="1" applyBorder="1" applyProtection="1">
      <protection locked="0"/>
    </xf>
    <xf numFmtId="4" fontId="20" fillId="3" borderId="69" xfId="0" applyNumberFormat="1" applyFont="1" applyFill="1" applyBorder="1" applyAlignment="1" applyProtection="1">
      <alignment horizontal="right" indent="1"/>
      <protection locked="0"/>
    </xf>
    <xf numFmtId="167" fontId="20" fillId="3" borderId="55" xfId="0" applyNumberFormat="1" applyFont="1" applyFill="1" applyBorder="1" applyAlignment="1" applyProtection="1">
      <alignment horizontal="center"/>
      <protection locked="0"/>
    </xf>
    <xf numFmtId="0" fontId="11" fillId="0" borderId="14" xfId="0" applyFont="1" applyBorder="1"/>
    <xf numFmtId="0" fontId="10" fillId="9" borderId="31" xfId="0" applyFont="1" applyFill="1" applyBorder="1" applyAlignment="1">
      <alignment horizontal="left" vertical="center" wrapText="1"/>
    </xf>
    <xf numFmtId="0" fontId="10" fillId="9" borderId="53" xfId="0" applyFont="1" applyFill="1" applyBorder="1" applyAlignment="1">
      <alignment horizontal="left" vertical="center" wrapText="1"/>
    </xf>
    <xf numFmtId="0" fontId="0" fillId="0" borderId="22" xfId="0" applyBorder="1" applyAlignment="1">
      <alignment horizontal="center"/>
    </xf>
    <xf numFmtId="0" fontId="10" fillId="5" borderId="8" xfId="0" applyFont="1" applyFill="1" applyBorder="1" applyAlignment="1">
      <alignment horizontal="center"/>
    </xf>
    <xf numFmtId="43" fontId="9" fillId="6" borderId="0" xfId="1" applyFont="1" applyFill="1" applyBorder="1" applyAlignment="1" applyProtection="1">
      <alignment horizontal="center"/>
    </xf>
    <xf numFmtId="43" fontId="7" fillId="6" borderId="0" xfId="1" applyFont="1" applyFill="1" applyBorder="1" applyAlignment="1" applyProtection="1">
      <alignment horizontal="center"/>
    </xf>
    <xf numFmtId="43" fontId="0" fillId="6" borderId="0" xfId="1" applyFont="1" applyFill="1" applyBorder="1" applyAlignment="1" applyProtection="1">
      <alignment horizontal="center"/>
    </xf>
    <xf numFmtId="43" fontId="10" fillId="7" borderId="16" xfId="1" applyFont="1" applyFill="1" applyBorder="1" applyAlignment="1" applyProtection="1">
      <alignment horizontal="center"/>
    </xf>
    <xf numFmtId="0" fontId="0" fillId="0" borderId="14" xfId="0" applyBorder="1" applyAlignment="1">
      <alignment horizontal="center"/>
    </xf>
    <xf numFmtId="0" fontId="10" fillId="5" borderId="14" xfId="0" applyFont="1" applyFill="1" applyBorder="1" applyAlignment="1">
      <alignment horizontal="center"/>
    </xf>
    <xf numFmtId="43" fontId="10" fillId="6" borderId="0" xfId="1" applyFont="1" applyFill="1" applyBorder="1" applyAlignment="1" applyProtection="1">
      <alignment horizontal="center"/>
    </xf>
    <xf numFmtId="43" fontId="10" fillId="7" borderId="11" xfId="1" applyFont="1" applyFill="1" applyBorder="1" applyAlignment="1" applyProtection="1">
      <alignment horizontal="center"/>
    </xf>
    <xf numFmtId="0" fontId="7" fillId="2" borderId="12" xfId="0" applyFont="1" applyFill="1" applyBorder="1" applyAlignment="1">
      <alignment horizontal="center"/>
    </xf>
    <xf numFmtId="0" fontId="7" fillId="0" borderId="12" xfId="0" applyFont="1" applyBorder="1" applyAlignment="1">
      <alignment horizontal="center"/>
    </xf>
    <xf numFmtId="0" fontId="4" fillId="0" borderId="4" xfId="0" applyFont="1" applyBorder="1"/>
    <xf numFmtId="0" fontId="0" fillId="0" borderId="3" xfId="0" quotePrefix="1" applyBorder="1"/>
    <xf numFmtId="0" fontId="0" fillId="0" borderId="2" xfId="0" applyBorder="1"/>
    <xf numFmtId="0" fontId="0" fillId="0" borderId="1" xfId="0" applyBorder="1"/>
    <xf numFmtId="0" fontId="0" fillId="0" borderId="5" xfId="0" applyBorder="1"/>
    <xf numFmtId="0" fontId="0" fillId="0" borderId="12" xfId="0" applyBorder="1"/>
    <xf numFmtId="0" fontId="0" fillId="0" borderId="12" xfId="0" applyBorder="1" applyAlignment="1">
      <alignment horizontal="center"/>
    </xf>
    <xf numFmtId="49" fontId="29" fillId="10" borderId="25" xfId="0" applyNumberFormat="1" applyFont="1" applyFill="1" applyBorder="1" applyAlignment="1" applyProtection="1">
      <alignment horizontal="left"/>
      <protection locked="0"/>
    </xf>
    <xf numFmtId="49" fontId="20" fillId="10" borderId="28" xfId="0" applyNumberFormat="1" applyFont="1" applyFill="1" applyBorder="1" applyAlignment="1" applyProtection="1">
      <alignment horizontal="left"/>
      <protection locked="0"/>
    </xf>
    <xf numFmtId="4" fontId="20" fillId="10" borderId="25" xfId="0" applyNumberFormat="1" applyFont="1" applyFill="1" applyBorder="1" applyAlignment="1" applyProtection="1">
      <alignment horizontal="right" indent="1"/>
      <protection locked="0"/>
    </xf>
    <xf numFmtId="0" fontId="20" fillId="10" borderId="40" xfId="0" applyFont="1" applyFill="1" applyBorder="1" applyAlignment="1" applyProtection="1">
      <alignment horizontal="left"/>
      <protection locked="0"/>
    </xf>
    <xf numFmtId="0" fontId="20" fillId="10" borderId="34" xfId="0" applyFont="1" applyFill="1" applyBorder="1" applyAlignment="1" applyProtection="1">
      <alignment horizontal="center"/>
      <protection locked="0"/>
    </xf>
    <xf numFmtId="0" fontId="9" fillId="10" borderId="34" xfId="0" applyFont="1" applyFill="1" applyBorder="1" applyProtection="1">
      <protection locked="0"/>
    </xf>
    <xf numFmtId="0" fontId="9" fillId="10" borderId="27" xfId="0" applyFont="1" applyFill="1" applyBorder="1" applyProtection="1">
      <protection locked="0"/>
    </xf>
    <xf numFmtId="49" fontId="29" fillId="10" borderId="24" xfId="0" applyNumberFormat="1" applyFont="1" applyFill="1" applyBorder="1" applyAlignment="1" applyProtection="1">
      <alignment horizontal="left"/>
      <protection locked="0"/>
    </xf>
    <xf numFmtId="49" fontId="20" fillId="10" borderId="46" xfId="0" applyNumberFormat="1" applyFont="1" applyFill="1" applyBorder="1" applyAlignment="1" applyProtection="1">
      <alignment horizontal="left"/>
      <protection locked="0"/>
    </xf>
    <xf numFmtId="4" fontId="20" fillId="10" borderId="22" xfId="0" applyNumberFormat="1" applyFont="1" applyFill="1" applyBorder="1" applyAlignment="1" applyProtection="1">
      <alignment horizontal="right" indent="1"/>
      <protection locked="0"/>
    </xf>
    <xf numFmtId="0" fontId="20" fillId="10" borderId="52" xfId="0" applyFont="1" applyFill="1" applyBorder="1" applyAlignment="1" applyProtection="1">
      <alignment horizontal="left"/>
      <protection locked="0"/>
    </xf>
    <xf numFmtId="0" fontId="20" fillId="10" borderId="58" xfId="0" applyFont="1" applyFill="1" applyBorder="1" applyAlignment="1" applyProtection="1">
      <alignment horizontal="center"/>
      <protection locked="0"/>
    </xf>
    <xf numFmtId="0" fontId="9" fillId="10" borderId="58" xfId="0" applyFont="1" applyFill="1" applyBorder="1" applyProtection="1">
      <protection locked="0"/>
    </xf>
    <xf numFmtId="0" fontId="9" fillId="10" borderId="59" xfId="0" applyFont="1" applyFill="1" applyBorder="1" applyProtection="1">
      <protection locked="0"/>
    </xf>
    <xf numFmtId="4" fontId="20" fillId="10" borderId="28" xfId="0" applyNumberFormat="1" applyFont="1" applyFill="1" applyBorder="1" applyAlignment="1" applyProtection="1">
      <alignment horizontal="right" indent="1"/>
      <protection locked="0"/>
    </xf>
    <xf numFmtId="0" fontId="17" fillId="9" borderId="22" xfId="0" applyFont="1" applyFill="1" applyBorder="1" applyAlignment="1">
      <alignment horizontal="left" indent="3"/>
    </xf>
    <xf numFmtId="0" fontId="17" fillId="9" borderId="0" xfId="0" applyFont="1" applyFill="1" applyAlignment="1">
      <alignment horizontal="left" indent="3"/>
    </xf>
    <xf numFmtId="0" fontId="17" fillId="9" borderId="23" xfId="0" applyFont="1" applyFill="1" applyBorder="1" applyAlignment="1">
      <alignment horizontal="left" indent="3"/>
    </xf>
    <xf numFmtId="0" fontId="0" fillId="3" borderId="0" xfId="0" applyFill="1" applyAlignment="1">
      <alignment horizontal="center"/>
    </xf>
    <xf numFmtId="0" fontId="7" fillId="3" borderId="12" xfId="0" applyFont="1" applyFill="1" applyBorder="1" applyAlignment="1" applyProtection="1">
      <alignment horizontal="center"/>
      <protection locked="0"/>
    </xf>
    <xf numFmtId="0" fontId="7" fillId="3" borderId="5" xfId="0" applyFont="1" applyFill="1" applyBorder="1" applyAlignment="1" applyProtection="1">
      <alignment horizontal="center" vertical="center"/>
      <protection locked="0"/>
    </xf>
    <xf numFmtId="0" fontId="0" fillId="3" borderId="12" xfId="0" applyFill="1" applyBorder="1" applyAlignment="1" applyProtection="1">
      <alignment horizontal="center" vertical="center"/>
      <protection locked="0"/>
    </xf>
    <xf numFmtId="164" fontId="7" fillId="3" borderId="12" xfId="0" quotePrefix="1" applyNumberFormat="1" applyFont="1" applyFill="1" applyBorder="1" applyAlignment="1" applyProtection="1">
      <alignment horizontal="center"/>
      <protection locked="0"/>
    </xf>
    <xf numFmtId="0" fontId="14" fillId="9" borderId="44" xfId="0" applyFont="1" applyFill="1" applyBorder="1" applyAlignment="1">
      <alignment horizontal="center" vertical="center" wrapText="1"/>
    </xf>
    <xf numFmtId="0" fontId="14" fillId="9" borderId="29" xfId="0" applyFont="1" applyFill="1" applyBorder="1" applyAlignment="1">
      <alignment horizontal="center" vertical="center"/>
    </xf>
    <xf numFmtId="0" fontId="14" fillId="9" borderId="28" xfId="0" applyFont="1" applyFill="1" applyBorder="1" applyAlignment="1">
      <alignment horizontal="center" vertical="center"/>
    </xf>
    <xf numFmtId="0" fontId="19" fillId="9" borderId="41" xfId="0" applyFont="1" applyFill="1" applyBorder="1" applyAlignment="1">
      <alignment horizontal="center" vertical="center"/>
    </xf>
    <xf numFmtId="0" fontId="19" fillId="9" borderId="42" xfId="0" applyFont="1" applyFill="1" applyBorder="1" applyAlignment="1">
      <alignment horizontal="center" vertical="center"/>
    </xf>
    <xf numFmtId="0" fontId="19" fillId="9" borderId="43" xfId="0" applyFont="1" applyFill="1" applyBorder="1" applyAlignment="1">
      <alignment horizontal="center" vertical="center"/>
    </xf>
    <xf numFmtId="0" fontId="23" fillId="9" borderId="50" xfId="0" applyFont="1" applyFill="1" applyBorder="1" applyAlignment="1">
      <alignment horizontal="left" indent="2"/>
    </xf>
    <xf numFmtId="0" fontId="23" fillId="9" borderId="51" xfId="0" applyFont="1" applyFill="1" applyBorder="1" applyAlignment="1">
      <alignment horizontal="left" indent="2"/>
    </xf>
    <xf numFmtId="0" fontId="23" fillId="9" borderId="26" xfId="0" applyFont="1" applyFill="1" applyBorder="1" applyAlignment="1">
      <alignment horizontal="left" indent="2"/>
    </xf>
    <xf numFmtId="49" fontId="20" fillId="3" borderId="78" xfId="0" applyNumberFormat="1" applyFont="1" applyFill="1" applyBorder="1" applyAlignment="1" applyProtection="1">
      <alignment horizontal="center"/>
      <protection locked="0"/>
    </xf>
    <xf numFmtId="49" fontId="20" fillId="3" borderId="79" xfId="0" applyNumberFormat="1" applyFont="1" applyFill="1" applyBorder="1" applyAlignment="1" applyProtection="1">
      <alignment horizontal="center"/>
      <protection locked="0"/>
    </xf>
    <xf numFmtId="49" fontId="20" fillId="3" borderId="80" xfId="0" applyNumberFormat="1" applyFont="1" applyFill="1" applyBorder="1" applyAlignment="1" applyProtection="1">
      <alignment horizontal="center"/>
      <protection locked="0"/>
    </xf>
    <xf numFmtId="0" fontId="27" fillId="3" borderId="46" xfId="0" applyFont="1" applyFill="1" applyBorder="1" applyAlignment="1" applyProtection="1">
      <alignment horizontal="left" indent="1"/>
      <protection locked="0"/>
    </xf>
    <xf numFmtId="0" fontId="27" fillId="3" borderId="24" xfId="0" applyFont="1" applyFill="1" applyBorder="1" applyAlignment="1" applyProtection="1">
      <alignment horizontal="left" indent="1"/>
      <protection locked="0"/>
    </xf>
    <xf numFmtId="0" fontId="27" fillId="3" borderId="25" xfId="0" applyFont="1" applyFill="1" applyBorder="1" applyAlignment="1" applyProtection="1">
      <alignment horizontal="left" indent="1"/>
      <protection locked="0"/>
    </xf>
    <xf numFmtId="0" fontId="12" fillId="9" borderId="30" xfId="0" applyFont="1" applyFill="1" applyBorder="1" applyAlignment="1">
      <alignment horizontal="center" vertical="center" wrapText="1"/>
    </xf>
    <xf numFmtId="0" fontId="12" fillId="9" borderId="62" xfId="0" applyFont="1" applyFill="1" applyBorder="1" applyAlignment="1">
      <alignment horizontal="center" vertical="center" wrapText="1"/>
    </xf>
    <xf numFmtId="0" fontId="27" fillId="3" borderId="45" xfId="0" applyFont="1" applyFill="1" applyBorder="1" applyAlignment="1" applyProtection="1">
      <alignment horizontal="left" vertical="center" wrapText="1" indent="1"/>
      <protection locked="0"/>
    </xf>
    <xf numFmtId="0" fontId="27" fillId="3" borderId="20" xfId="0" applyFont="1" applyFill="1" applyBorder="1" applyAlignment="1" applyProtection="1">
      <alignment horizontal="left" vertical="center" wrapText="1" indent="1"/>
      <protection locked="0"/>
    </xf>
    <xf numFmtId="0" fontId="27" fillId="3" borderId="21" xfId="0" applyFont="1" applyFill="1" applyBorder="1" applyAlignment="1" applyProtection="1">
      <alignment horizontal="left" vertical="center" wrapText="1" indent="1"/>
      <protection locked="0"/>
    </xf>
    <xf numFmtId="0" fontId="27" fillId="3" borderId="46" xfId="0" applyFont="1" applyFill="1" applyBorder="1" applyAlignment="1" applyProtection="1">
      <alignment horizontal="left" vertical="center" wrapText="1" indent="1"/>
      <protection locked="0"/>
    </xf>
    <xf numFmtId="0" fontId="27" fillId="3" borderId="24" xfId="0" applyFont="1" applyFill="1" applyBorder="1" applyAlignment="1" applyProtection="1">
      <alignment horizontal="left" vertical="center" wrapText="1" indent="1"/>
      <protection locked="0"/>
    </xf>
    <xf numFmtId="0" fontId="27" fillId="3" borderId="25" xfId="0" applyFont="1" applyFill="1" applyBorder="1" applyAlignment="1" applyProtection="1">
      <alignment horizontal="left" vertical="center" wrapText="1" indent="1"/>
      <protection locked="0"/>
    </xf>
    <xf numFmtId="0" fontId="7" fillId="0" borderId="1" xfId="0" applyFont="1" applyBorder="1" applyAlignment="1">
      <alignment horizontal="left" vertical="center" wrapText="1"/>
    </xf>
    <xf numFmtId="0" fontId="7" fillId="0" borderId="0" xfId="0" applyFont="1" applyAlignment="1">
      <alignment horizontal="left" vertical="center" wrapText="1"/>
    </xf>
    <xf numFmtId="0" fontId="0" fillId="0" borderId="50" xfId="0" applyBorder="1" applyAlignment="1">
      <alignment horizontal="center" vertical="center"/>
    </xf>
    <xf numFmtId="0" fontId="0" fillId="0" borderId="51" xfId="0" applyBorder="1" applyAlignment="1">
      <alignment horizontal="center" vertical="center"/>
    </xf>
    <xf numFmtId="0" fontId="0" fillId="0" borderId="26" xfId="0" applyBorder="1" applyAlignment="1">
      <alignment horizontal="center" vertical="center"/>
    </xf>
    <xf numFmtId="0" fontId="0" fillId="0" borderId="0" xfId="0" applyAlignment="1">
      <alignment horizontal="center" vertical="center"/>
    </xf>
    <xf numFmtId="0" fontId="17" fillId="9" borderId="46" xfId="0" applyFont="1" applyFill="1" applyBorder="1" applyAlignment="1">
      <alignment horizontal="left" indent="3"/>
    </xf>
    <xf numFmtId="0" fontId="17" fillId="9" borderId="24" xfId="0" applyFont="1" applyFill="1" applyBorder="1" applyAlignment="1">
      <alignment horizontal="left" indent="3"/>
    </xf>
    <xf numFmtId="0" fontId="17" fillId="9" borderId="25" xfId="0" applyFont="1" applyFill="1" applyBorder="1" applyAlignment="1">
      <alignment horizontal="left" indent="3"/>
    </xf>
    <xf numFmtId="0" fontId="17" fillId="9" borderId="45" xfId="0" applyFont="1" applyFill="1" applyBorder="1" applyAlignment="1">
      <alignment horizontal="left" indent="3"/>
    </xf>
    <xf numFmtId="0" fontId="17" fillId="9" borderId="20" xfId="0" applyFont="1" applyFill="1" applyBorder="1" applyAlignment="1">
      <alignment horizontal="left" indent="3"/>
    </xf>
    <xf numFmtId="0" fontId="17" fillId="9" borderId="21" xfId="0" applyFont="1" applyFill="1" applyBorder="1" applyAlignment="1">
      <alignment horizontal="left" indent="3"/>
    </xf>
    <xf numFmtId="0" fontId="19" fillId="9" borderId="45" xfId="0" applyFont="1" applyFill="1" applyBorder="1" applyAlignment="1">
      <alignment horizontal="center" vertical="center"/>
    </xf>
    <xf numFmtId="0" fontId="19" fillId="9" borderId="20" xfId="0" applyFont="1" applyFill="1" applyBorder="1" applyAlignment="1">
      <alignment horizontal="center" vertical="center"/>
    </xf>
    <xf numFmtId="0" fontId="19" fillId="9" borderId="21" xfId="0" applyFont="1" applyFill="1" applyBorder="1" applyAlignment="1">
      <alignment horizontal="center" vertical="center"/>
    </xf>
    <xf numFmtId="0" fontId="4" fillId="9" borderId="45" xfId="0" applyFont="1" applyFill="1" applyBorder="1"/>
    <xf numFmtId="0" fontId="4" fillId="9" borderId="20" xfId="0" applyFont="1" applyFill="1" applyBorder="1"/>
    <xf numFmtId="0" fontId="4" fillId="9" borderId="21" xfId="0" applyFont="1" applyFill="1" applyBorder="1"/>
    <xf numFmtId="0" fontId="20" fillId="3" borderId="64" xfId="0" applyFont="1" applyFill="1" applyBorder="1" applyAlignment="1" applyProtection="1">
      <alignment vertical="center"/>
      <protection locked="0"/>
    </xf>
    <xf numFmtId="0" fontId="20" fillId="3" borderId="76" xfId="0" applyFont="1" applyFill="1" applyBorder="1" applyAlignment="1" applyProtection="1">
      <alignment vertical="center"/>
      <protection locked="0"/>
    </xf>
    <xf numFmtId="0" fontId="20" fillId="3" borderId="77" xfId="0" applyFont="1" applyFill="1" applyBorder="1" applyAlignment="1" applyProtection="1">
      <alignment vertical="center"/>
      <protection locked="0"/>
    </xf>
    <xf numFmtId="49" fontId="20" fillId="3" borderId="65" xfId="0" applyNumberFormat="1" applyFont="1" applyFill="1" applyBorder="1" applyAlignment="1" applyProtection="1">
      <alignment horizontal="left"/>
      <protection locked="0"/>
    </xf>
    <xf numFmtId="49" fontId="20" fillId="3" borderId="74" xfId="0" applyNumberFormat="1" applyFont="1" applyFill="1" applyBorder="1" applyAlignment="1" applyProtection="1">
      <alignment horizontal="left"/>
      <protection locked="0"/>
    </xf>
    <xf numFmtId="49" fontId="20" fillId="3" borderId="66" xfId="0" applyNumberFormat="1" applyFont="1" applyFill="1" applyBorder="1" applyAlignment="1" applyProtection="1">
      <alignment horizontal="left"/>
      <protection locked="0"/>
    </xf>
    <xf numFmtId="0" fontId="4" fillId="0" borderId="7" xfId="0" applyFont="1" applyBorder="1" applyAlignment="1">
      <alignment horizontal="center"/>
    </xf>
    <xf numFmtId="0" fontId="4" fillId="0" borderId="9" xfId="0" applyFont="1" applyBorder="1" applyAlignment="1">
      <alignment horizontal="center"/>
    </xf>
    <xf numFmtId="0" fontId="10" fillId="0" borderId="7" xfId="0" applyFont="1" applyBorder="1" applyAlignment="1">
      <alignment horizontal="center"/>
    </xf>
    <xf numFmtId="0" fontId="10" fillId="0" borderId="9" xfId="0" applyFont="1" applyBorder="1" applyAlignment="1">
      <alignment horizontal="center"/>
    </xf>
    <xf numFmtId="0" fontId="20" fillId="3" borderId="69" xfId="0" applyFont="1" applyFill="1" applyBorder="1" applyAlignment="1" applyProtection="1">
      <alignment vertical="center"/>
      <protection locked="0"/>
    </xf>
    <xf numFmtId="0" fontId="20" fillId="3" borderId="75" xfId="0" applyFont="1" applyFill="1" applyBorder="1" applyAlignment="1" applyProtection="1">
      <alignment vertical="center"/>
      <protection locked="0"/>
    </xf>
    <xf numFmtId="0" fontId="20" fillId="3" borderId="67" xfId="0" applyFont="1" applyFill="1" applyBorder="1" applyAlignment="1" applyProtection="1">
      <alignment vertical="center"/>
      <protection locked="0"/>
    </xf>
    <xf numFmtId="0" fontId="7" fillId="0" borderId="5" xfId="0" applyFont="1"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7" fillId="0" borderId="12" xfId="0" applyFont="1" applyBorder="1" applyAlignment="1" applyProtection="1">
      <alignment horizontal="center"/>
      <protection locked="0"/>
    </xf>
    <xf numFmtId="164" fontId="7" fillId="3" borderId="12" xfId="0" quotePrefix="1" applyNumberFormat="1" applyFont="1" applyFill="1" applyBorder="1" applyAlignment="1">
      <alignment horizontal="center"/>
    </xf>
    <xf numFmtId="166" fontId="0" fillId="3" borderId="19" xfId="0" applyNumberFormat="1" applyFill="1" applyBorder="1" applyAlignment="1" applyProtection="1">
      <alignment horizontal="center" vertical="center"/>
      <protection locked="0"/>
    </xf>
    <xf numFmtId="0" fontId="0" fillId="0" borderId="0" xfId="0" applyFont="1"/>
    <xf numFmtId="0" fontId="0" fillId="12" borderId="19" xfId="0" applyFill="1" applyBorder="1"/>
  </cellXfs>
  <cellStyles count="5">
    <cellStyle name="Comma" xfId="1" builtinId="3"/>
    <cellStyle name="Hyperlink" xfId="2" builtinId="8"/>
    <cellStyle name="Normal" xfId="0" builtinId="0"/>
    <cellStyle name="Normal 2" xfId="4" xr:uid="{52B6956D-4356-4E1F-92E5-31C25E0BA1DA}"/>
    <cellStyle name="Percent" xfId="3" builtinId="5"/>
  </cellStyles>
  <dxfs count="20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lor rgb="FFFF0000"/>
      </font>
      <fill>
        <patternFill>
          <bgColor theme="0" tint="-4.9989318521683403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lor rgb="FFFF0000"/>
      </font>
      <fill>
        <patternFill>
          <bgColor theme="0" tint="-4.9989318521683403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rgb="FF0000FF"/>
        <name val="Arial"/>
        <family val="2"/>
        <scheme val="none"/>
      </font>
      <fill>
        <patternFill patternType="solid">
          <fgColor indexed="64"/>
          <bgColor rgb="FFFFFFCC"/>
        </patternFill>
      </fill>
      <border diagonalUp="0" diagonalDown="0">
        <left style="mediumDashed">
          <color indexed="64"/>
        </left>
        <right style="thick">
          <color indexed="64"/>
        </right>
        <top/>
        <bottom/>
        <vertical/>
        <horizontal/>
      </border>
      <protection locked="0" hidden="0"/>
    </dxf>
    <dxf>
      <font>
        <b val="0"/>
        <i val="0"/>
        <strike val="0"/>
        <condense val="0"/>
        <extend val="0"/>
        <outline val="0"/>
        <shadow val="0"/>
        <u val="none"/>
        <vertAlign val="baseline"/>
        <sz val="11"/>
        <color rgb="FF0000FF"/>
        <name val="Arial"/>
        <family val="2"/>
        <scheme val="none"/>
      </font>
      <fill>
        <patternFill patternType="solid">
          <fgColor indexed="64"/>
          <bgColor theme="0"/>
        </patternFill>
      </fill>
      <alignment horizontal="center" vertical="bottom" textRotation="0" wrapText="0" indent="0" justifyLastLine="0" shrinkToFit="0" readingOrder="0"/>
      <border diagonalUp="0" diagonalDown="0" outline="0">
        <left style="mediumDashed">
          <color indexed="64"/>
        </left>
        <right/>
        <top/>
        <bottom/>
      </border>
      <protection locked="1" hidden="0"/>
    </dxf>
    <dxf>
      <font>
        <b val="0"/>
        <i val="0"/>
        <strike val="0"/>
        <condense val="0"/>
        <extend val="0"/>
        <outline val="0"/>
        <shadow val="0"/>
        <u val="none"/>
        <vertAlign val="baseline"/>
        <sz val="11"/>
        <color rgb="FF0000FF"/>
        <name val="Arial"/>
        <family val="2"/>
        <scheme val="none"/>
      </font>
      <fill>
        <patternFill patternType="solid">
          <fgColor indexed="64"/>
          <bgColor rgb="FFFFFFCC"/>
        </patternFill>
      </fill>
      <border diagonalUp="0" diagonalDown="0">
        <left style="mediumDashed">
          <color indexed="64"/>
        </left>
        <right/>
        <top/>
        <bottom/>
        <vertical/>
        <horizontal/>
      </border>
      <protection locked="0" hidden="0"/>
    </dxf>
    <dxf>
      <font>
        <b val="0"/>
        <i val="0"/>
        <strike val="0"/>
        <condense val="0"/>
        <extend val="0"/>
        <outline val="0"/>
        <shadow val="0"/>
        <u val="none"/>
        <vertAlign val="baseline"/>
        <sz val="11"/>
        <color rgb="FF0000FF"/>
        <name val="Aptos Display"/>
        <family val="2"/>
        <scheme val="major"/>
      </font>
      <fill>
        <patternFill patternType="solid">
          <fgColor indexed="64"/>
          <bgColor rgb="FFFFFFCC"/>
        </patternFill>
      </fill>
      <alignment horizontal="center" vertical="bottom" textRotation="0" wrapText="0" indent="0" justifyLastLine="0" shrinkToFit="0" readingOrder="0"/>
      <border diagonalUp="0" diagonalDown="0">
        <left style="mediumDashed">
          <color indexed="64"/>
        </left>
        <right/>
        <top/>
        <bottom/>
        <vertical/>
        <horizontal/>
      </border>
      <protection locked="0" hidden="0"/>
    </dxf>
    <dxf>
      <font>
        <b val="0"/>
        <i val="0"/>
        <strike val="0"/>
        <condense val="0"/>
        <extend val="0"/>
        <outline val="0"/>
        <shadow val="0"/>
        <u val="none"/>
        <vertAlign val="baseline"/>
        <sz val="11"/>
        <color rgb="FF0000FF"/>
        <name val="Aptos Display"/>
        <family val="2"/>
        <scheme val="major"/>
      </font>
      <fill>
        <patternFill patternType="solid">
          <fgColor indexed="64"/>
          <bgColor rgb="FFFFFFCC"/>
        </patternFill>
      </fill>
      <alignment horizontal="left" vertical="bottom" textRotation="0" wrapText="0" indent="0" justifyLastLine="0" shrinkToFit="0" readingOrder="0"/>
      <border diagonalUp="0" diagonalDown="0">
        <left style="medium">
          <color indexed="64"/>
        </left>
        <right/>
        <top/>
        <bottom/>
        <vertical/>
        <horizontal/>
      </border>
      <protection locked="0" hidden="0"/>
    </dxf>
    <dxf>
      <font>
        <b val="0"/>
        <i val="0"/>
        <strike val="0"/>
        <condense val="0"/>
        <extend val="0"/>
        <outline val="0"/>
        <shadow val="0"/>
        <u val="none"/>
        <vertAlign val="baseline"/>
        <sz val="11"/>
        <color rgb="FF0000FF"/>
        <name val="Aptos Display"/>
        <family val="2"/>
        <scheme val="major"/>
      </font>
      <numFmt numFmtId="4" formatCode="#,##0.00"/>
      <fill>
        <patternFill patternType="solid">
          <fgColor indexed="64"/>
          <bgColor rgb="FFFFFFCC"/>
        </patternFill>
      </fill>
      <alignment horizontal="right" vertical="bottom" textRotation="0" wrapText="0" indent="1" justifyLastLine="0" shrinkToFit="0" readingOrder="0"/>
      <border diagonalUp="0" diagonalDown="0">
        <left style="medium">
          <color indexed="64"/>
        </left>
        <right/>
        <top/>
        <bottom/>
        <vertical/>
        <horizontal/>
      </border>
      <protection locked="0" hidden="0"/>
    </dxf>
    <dxf>
      <font>
        <b val="0"/>
        <i val="0"/>
        <strike val="0"/>
        <condense val="0"/>
        <extend val="0"/>
        <outline val="0"/>
        <shadow val="0"/>
        <u val="none"/>
        <vertAlign val="baseline"/>
        <sz val="11"/>
        <color rgb="FF0000FF"/>
        <name val="Aptos Display"/>
        <family val="2"/>
        <scheme val="major"/>
      </font>
      <numFmt numFmtId="30" formatCode="@"/>
      <fill>
        <patternFill patternType="solid">
          <fgColor indexed="64"/>
          <bgColor rgb="FFFFFFCC"/>
        </patternFill>
      </fill>
      <alignment horizontal="left" vertical="bottom" textRotation="0" wrapText="0" indent="0" justifyLastLine="0" shrinkToFit="0" readingOrder="0"/>
      <border diagonalUp="0" diagonalDown="0">
        <left style="medium">
          <color indexed="64"/>
        </left>
        <right/>
        <top/>
        <bottom/>
        <vertical/>
        <horizontal/>
      </border>
      <protection locked="0" hidden="0"/>
    </dxf>
    <dxf>
      <font>
        <b val="0"/>
        <i val="0"/>
        <strike val="0"/>
        <condense val="0"/>
        <extend val="0"/>
        <outline val="0"/>
        <shadow val="0"/>
        <u val="none"/>
        <vertAlign val="baseline"/>
        <sz val="11"/>
        <color rgb="FF0000FF"/>
        <name val="Aptos Display"/>
        <family val="2"/>
        <scheme val="major"/>
      </font>
      <numFmt numFmtId="30" formatCode="@"/>
      <fill>
        <patternFill patternType="solid">
          <fgColor indexed="64"/>
          <bgColor rgb="FFFFFFCC"/>
        </patternFill>
      </fill>
      <alignment horizontal="left" vertical="bottom" textRotation="0" wrapText="0" indent="0" justifyLastLine="0" shrinkToFit="0" readingOrder="0"/>
      <border diagonalUp="0" diagonalDown="0">
        <left style="medium">
          <color indexed="64"/>
        </left>
        <right/>
        <top/>
        <bottom/>
        <vertical/>
        <horizontal/>
      </border>
      <protection locked="0" hidden="0"/>
    </dxf>
    <dxf>
      <font>
        <b val="0"/>
        <i val="0"/>
        <strike val="0"/>
        <condense val="0"/>
        <extend val="0"/>
        <outline val="0"/>
        <shadow val="0"/>
        <u val="none"/>
        <vertAlign val="baseline"/>
        <sz val="11"/>
        <color rgb="FF0000FF"/>
        <name val="Aptos Display"/>
        <family val="2"/>
        <scheme val="major"/>
      </font>
      <numFmt numFmtId="30" formatCode="@"/>
      <fill>
        <patternFill patternType="solid">
          <fgColor indexed="64"/>
          <bgColor rgb="FFFFFFCC"/>
        </patternFill>
      </fill>
      <alignment horizontal="left" vertical="bottom" textRotation="0" wrapText="0" indent="0" justifyLastLine="0" shrinkToFit="0" readingOrder="0"/>
      <protection locked="0" hidden="0"/>
    </dxf>
    <dxf>
      <border outline="0">
        <left style="medium">
          <color indexed="64"/>
        </left>
      </border>
    </dxf>
    <dxf>
      <protection locked="1" hidden="0"/>
    </dxf>
    <dxf>
      <font>
        <b/>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mediumDashed">
          <color indexed="64"/>
        </left>
        <right style="mediumDashed">
          <color indexed="64"/>
        </right>
        <top/>
        <bottom/>
      </border>
      <protection locked="1" hidden="0"/>
    </dxf>
    <dxf>
      <font>
        <b val="0"/>
        <i val="0"/>
        <strike val="0"/>
        <condense val="0"/>
        <extend val="0"/>
        <outline val="0"/>
        <shadow val="0"/>
        <u val="none"/>
        <vertAlign val="baseline"/>
        <sz val="11"/>
        <color rgb="FF0000FF"/>
        <name val="Aptos Display"/>
        <family val="2"/>
        <scheme val="major"/>
      </font>
      <numFmt numFmtId="4" formatCode="#,##0.00"/>
      <fill>
        <patternFill patternType="solid">
          <fgColor indexed="64"/>
          <bgColor rgb="FFFFFFCC"/>
        </patternFill>
      </fill>
      <alignment horizontal="right" vertical="bottom" textRotation="0" wrapText="0" indent="1" justifyLastLine="0" shrinkToFit="0" readingOrder="0"/>
      <border diagonalUp="0" diagonalDown="0">
        <left style="medium">
          <color indexed="64"/>
        </left>
        <right style="medium">
          <color indexed="64"/>
        </right>
        <top/>
        <bottom/>
        <vertical/>
        <horizontal/>
      </border>
      <protection locked="0" hidden="0"/>
    </dxf>
    <dxf>
      <font>
        <b val="0"/>
        <i val="0"/>
        <strike val="0"/>
        <condense val="0"/>
        <extend val="0"/>
        <outline val="0"/>
        <shadow val="0"/>
        <u val="none"/>
        <vertAlign val="baseline"/>
        <sz val="11"/>
        <color rgb="FF0000FF"/>
        <name val="Aptos Display"/>
        <family val="2"/>
        <scheme val="major"/>
      </font>
      <numFmt numFmtId="30" formatCode="@"/>
      <fill>
        <patternFill patternType="solid">
          <fgColor indexed="64"/>
          <bgColor rgb="FFFFFFCC"/>
        </patternFill>
      </fill>
      <alignment horizontal="left" vertical="bottom" textRotation="0" wrapText="0" indent="0" justifyLastLine="0" shrinkToFit="0" readingOrder="0"/>
      <border diagonalUp="0" diagonalDown="0">
        <left style="medium">
          <color indexed="64"/>
        </left>
        <right style="medium">
          <color indexed="64"/>
        </right>
        <top/>
        <bottom/>
        <vertical/>
        <horizontal/>
      </border>
      <protection locked="0" hidden="0"/>
    </dxf>
    <dxf>
      <font>
        <b val="0"/>
        <i val="0"/>
        <strike val="0"/>
        <condense val="0"/>
        <extend val="0"/>
        <outline val="0"/>
        <shadow val="0"/>
        <u val="none"/>
        <vertAlign val="baseline"/>
        <sz val="11"/>
        <color rgb="FF0000FF"/>
        <name val="Aptos Display"/>
        <family val="2"/>
        <scheme val="major"/>
      </font>
      <numFmt numFmtId="30" formatCode="@"/>
      <fill>
        <patternFill patternType="solid">
          <fgColor indexed="64"/>
          <bgColor rgb="FFFFFFCC"/>
        </patternFill>
      </fill>
      <alignment horizontal="left" vertical="bottom" textRotation="0" wrapText="0" indent="0" justifyLastLine="0" shrinkToFit="0" readingOrder="0"/>
      <border diagonalUp="0" diagonalDown="0">
        <left style="medium">
          <color indexed="64"/>
        </left>
        <right style="medium">
          <color indexed="64"/>
        </right>
        <top/>
        <bottom/>
        <vertical/>
        <horizontal/>
      </border>
      <protection locked="0" hidden="0"/>
    </dxf>
    <dxf>
      <font>
        <b val="0"/>
        <i val="0"/>
        <strike val="0"/>
        <condense val="0"/>
        <extend val="0"/>
        <outline val="0"/>
        <shadow val="0"/>
        <u val="none"/>
        <vertAlign val="baseline"/>
        <sz val="11"/>
        <color rgb="FF0000FF"/>
        <name val="Aptos Display"/>
        <family val="2"/>
        <scheme val="major"/>
      </font>
      <numFmt numFmtId="30" formatCode="@"/>
      <fill>
        <patternFill patternType="solid">
          <fgColor indexed="64"/>
          <bgColor rgb="FFFFFFCC"/>
        </patternFill>
      </fill>
      <alignment horizontal="left" vertical="bottom" textRotation="0" wrapText="0" indent="0" justifyLastLine="0" shrinkToFit="0" readingOrder="0"/>
      <border diagonalUp="0" diagonalDown="0">
        <left/>
        <right style="medium">
          <color indexed="64"/>
        </right>
        <top/>
        <bottom/>
        <vertical/>
        <horizontal/>
      </border>
      <protection locked="0" hidden="0"/>
    </dxf>
    <dxf>
      <border outline="0">
        <left style="medium">
          <color indexed="64"/>
        </left>
        <right style="thick">
          <color indexed="64"/>
        </right>
        <top style="medium">
          <color indexed="64"/>
        </top>
      </border>
    </dxf>
    <dxf>
      <protection locked="0" hidden="0"/>
    </dxf>
    <dxf>
      <border outline="0">
        <bottom style="medium">
          <color indexed="64"/>
        </bottom>
      </border>
    </dxf>
    <dxf>
      <font>
        <strike val="0"/>
        <outline val="0"/>
        <shadow val="0"/>
        <u val="none"/>
        <vertAlign val="baseline"/>
        <sz val="11"/>
        <color auto="1"/>
        <name val="Arial"/>
        <family val="2"/>
        <scheme val="none"/>
      </font>
      <protection locked="1" hidden="0"/>
    </dxf>
    <dxf>
      <font>
        <b val="0"/>
        <i val="0"/>
        <strike val="0"/>
        <condense val="0"/>
        <extend val="0"/>
        <outline val="0"/>
        <shadow val="0"/>
        <u val="none"/>
        <vertAlign val="baseline"/>
        <sz val="11"/>
        <color rgb="FF0000FF"/>
        <name val="Arial"/>
        <family val="2"/>
        <scheme val="none"/>
      </font>
      <fill>
        <patternFill patternType="solid">
          <fgColor indexed="64"/>
          <bgColor rgb="FFFFFFCC"/>
        </patternFill>
      </fill>
      <border diagonalUp="0" diagonalDown="0">
        <left/>
        <right style="thick">
          <color indexed="64"/>
        </right>
        <top/>
        <bottom/>
        <vertical/>
        <horizontal/>
      </border>
      <protection locked="0" hidden="0"/>
    </dxf>
    <dxf>
      <font>
        <b val="0"/>
        <i val="0"/>
        <strike val="0"/>
        <condense val="0"/>
        <extend val="0"/>
        <outline val="0"/>
        <shadow val="0"/>
        <u val="none"/>
        <vertAlign val="baseline"/>
        <sz val="11"/>
        <color rgb="FF0000FF"/>
        <name val="Arial"/>
        <family val="2"/>
        <scheme val="none"/>
      </font>
      <numFmt numFmtId="0" formatCode="General"/>
      <fill>
        <patternFill patternType="solid">
          <fgColor indexed="64"/>
          <bgColor theme="0"/>
        </patternFill>
      </fill>
      <alignment horizontal="center" vertical="bottom" textRotation="0" wrapText="0" indent="0" justifyLastLine="0" shrinkToFit="0" readingOrder="0"/>
      <border diagonalUp="0" diagonalDown="0" outline="0">
        <left style="mediumDashed">
          <color indexed="64"/>
        </left>
        <right style="mediumDashed">
          <color indexed="64"/>
        </right>
        <top/>
        <bottom/>
      </border>
      <protection locked="1" hidden="0"/>
    </dxf>
    <dxf>
      <font>
        <b val="0"/>
        <i val="0"/>
        <strike val="0"/>
        <condense val="0"/>
        <extend val="0"/>
        <outline val="0"/>
        <shadow val="0"/>
        <u val="none"/>
        <vertAlign val="baseline"/>
        <sz val="11"/>
        <color rgb="FF0000FF"/>
        <name val="Arial"/>
        <family val="2"/>
        <scheme val="none"/>
      </font>
      <fill>
        <patternFill patternType="solid">
          <fgColor indexed="64"/>
          <bgColor rgb="FFFFFFCC"/>
        </patternFill>
      </fill>
      <border diagonalUp="0" diagonalDown="0">
        <left style="mediumDashed">
          <color indexed="64"/>
        </left>
        <right style="mediumDashed">
          <color indexed="64"/>
        </right>
        <top/>
        <bottom/>
        <vertical/>
        <horizontal/>
      </border>
      <protection locked="0" hidden="0"/>
    </dxf>
    <dxf>
      <font>
        <b val="0"/>
        <i val="0"/>
        <strike val="0"/>
        <condense val="0"/>
        <extend val="0"/>
        <outline val="0"/>
        <shadow val="0"/>
        <u val="none"/>
        <vertAlign val="baseline"/>
        <sz val="11"/>
        <color rgb="FF0000FF"/>
        <name val="Aptos Display"/>
        <family val="2"/>
        <scheme val="major"/>
      </font>
      <fill>
        <patternFill patternType="solid">
          <fgColor indexed="64"/>
          <bgColor rgb="FFFFFFCC"/>
        </patternFill>
      </fill>
      <alignment horizontal="center" vertical="bottom" textRotation="0" wrapText="0" indent="0" justifyLastLine="0" shrinkToFit="0" readingOrder="0"/>
      <border diagonalUp="0" diagonalDown="0">
        <left style="mediumDashed">
          <color indexed="64"/>
        </left>
        <right style="mediumDashed">
          <color indexed="64"/>
        </right>
        <top/>
        <bottom/>
        <vertical/>
        <horizontal/>
      </border>
      <protection locked="0" hidden="0"/>
    </dxf>
    <dxf>
      <font>
        <b val="0"/>
        <i val="0"/>
        <strike val="0"/>
        <condense val="0"/>
        <extend val="0"/>
        <outline val="0"/>
        <shadow val="0"/>
        <u val="none"/>
        <vertAlign val="baseline"/>
        <sz val="11"/>
        <color rgb="FF0000FF"/>
        <name val="Aptos Display"/>
        <family val="2"/>
        <scheme val="major"/>
      </font>
      <fill>
        <patternFill patternType="solid">
          <fgColor indexed="64"/>
          <bgColor rgb="FFFFFFCC"/>
        </patternFill>
      </fill>
      <alignment horizontal="left" vertical="bottom" textRotation="0" wrapText="0" indent="0" justifyLastLine="0" shrinkToFit="0" readingOrder="0"/>
      <border diagonalUp="0" diagonalDown="0">
        <left/>
        <right style="mediumDashed">
          <color indexed="64"/>
        </right>
        <top/>
        <bottom/>
        <vertical/>
        <horizontal/>
      </border>
      <protection locked="0" hidden="0"/>
    </dxf>
    <dxf>
      <font>
        <b val="0"/>
        <i val="0"/>
        <strike val="0"/>
        <condense val="0"/>
        <extend val="0"/>
        <outline val="0"/>
        <shadow val="0"/>
        <u val="none"/>
        <vertAlign val="baseline"/>
        <sz val="11"/>
        <color rgb="FF0000FF"/>
        <name val="Aptos Display"/>
        <family val="2"/>
        <scheme val="major"/>
      </font>
      <numFmt numFmtId="4" formatCode="#,##0.00"/>
      <fill>
        <patternFill patternType="solid">
          <fgColor indexed="64"/>
          <bgColor rgb="FFFFFFCC"/>
        </patternFill>
      </fill>
      <alignment horizontal="right" vertical="bottom" textRotation="0" wrapText="0" indent="1" justifyLastLine="0" shrinkToFit="0" readingOrder="0"/>
      <border diagonalUp="0" diagonalDown="0">
        <left/>
        <right style="medium">
          <color indexed="64"/>
        </right>
        <top/>
        <bottom/>
        <vertical/>
        <horizontal/>
      </border>
      <protection locked="0" hidden="0"/>
    </dxf>
    <dxf>
      <font>
        <b val="0"/>
        <i val="0"/>
        <strike val="0"/>
        <condense val="0"/>
        <extend val="0"/>
        <outline val="0"/>
        <shadow val="0"/>
        <u val="none"/>
        <vertAlign val="baseline"/>
        <sz val="11"/>
        <color rgb="FF0000FF"/>
        <name val="Aptos Display"/>
        <family val="2"/>
        <scheme val="major"/>
      </font>
      <numFmt numFmtId="30" formatCode="@"/>
      <fill>
        <patternFill patternType="solid">
          <fgColor indexed="64"/>
          <bgColor rgb="FFFFFFCC"/>
        </patternFill>
      </fill>
      <alignment horizontal="left" vertical="bottom" textRotation="0" wrapText="0" indent="0" justifyLastLine="0" shrinkToFit="0" readingOrder="0"/>
      <border diagonalUp="0" diagonalDown="0">
        <left style="medium">
          <color indexed="64"/>
        </left>
        <right style="medium">
          <color indexed="64"/>
        </right>
        <top/>
        <bottom/>
        <vertical/>
        <horizontal/>
      </border>
      <protection locked="0" hidden="0"/>
    </dxf>
    <dxf>
      <font>
        <b val="0"/>
        <i val="0"/>
        <strike val="0"/>
        <condense val="0"/>
        <extend val="0"/>
        <outline val="0"/>
        <shadow val="0"/>
        <u val="none"/>
        <vertAlign val="baseline"/>
        <sz val="11"/>
        <color rgb="FF0000FF"/>
        <name val="Aptos Display"/>
        <family val="2"/>
        <scheme val="major"/>
      </font>
      <numFmt numFmtId="30" formatCode="@"/>
      <fill>
        <patternFill patternType="solid">
          <fgColor indexed="64"/>
          <bgColor rgb="FFFFFFCC"/>
        </patternFill>
      </fill>
      <alignment horizontal="left" vertical="bottom" textRotation="0" wrapText="0" indent="0" justifyLastLine="0" shrinkToFit="0" readingOrder="0"/>
      <border diagonalUp="0" diagonalDown="0">
        <left style="medium">
          <color indexed="64"/>
        </left>
        <right style="medium">
          <color indexed="64"/>
        </right>
        <top/>
        <bottom/>
        <vertical/>
        <horizontal/>
      </border>
      <protection locked="0" hidden="0"/>
    </dxf>
    <dxf>
      <font>
        <b val="0"/>
        <i val="0"/>
        <strike val="0"/>
        <condense val="0"/>
        <extend val="0"/>
        <outline val="0"/>
        <shadow val="0"/>
        <u val="none"/>
        <vertAlign val="baseline"/>
        <sz val="11"/>
        <color rgb="FF0000FF"/>
        <name val="Aptos Display"/>
        <family val="2"/>
        <scheme val="major"/>
      </font>
      <numFmt numFmtId="30" formatCode="@"/>
      <fill>
        <patternFill patternType="solid">
          <fgColor indexed="64"/>
          <bgColor rgb="FFFFFFCC"/>
        </patternFill>
      </fill>
      <alignment horizontal="left" vertical="bottom" textRotation="0" wrapText="0" indent="0" justifyLastLine="0" shrinkToFit="0" readingOrder="0"/>
      <border diagonalUp="0" diagonalDown="0">
        <left/>
        <right style="medium">
          <color indexed="64"/>
        </right>
        <top/>
        <bottom/>
        <vertical/>
        <horizontal/>
      </border>
      <protection locked="0" hidden="0"/>
    </dxf>
    <dxf>
      <border outline="0">
        <left style="medium">
          <color indexed="64"/>
        </left>
      </border>
    </dxf>
    <dxf>
      <protection locked="1" hidden="0"/>
    </dxf>
    <dxf>
      <border outline="0">
        <bottom style="medium">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mediumDashed">
          <color indexed="64"/>
        </left>
        <right style="mediumDashed">
          <color indexed="64"/>
        </right>
        <top/>
        <bottom/>
      </border>
      <protection locked="1" hidden="0"/>
    </dxf>
    <dxf>
      <font>
        <b val="0"/>
        <i val="0"/>
        <strike val="0"/>
        <condense val="0"/>
        <extend val="0"/>
        <outline val="0"/>
        <shadow val="0"/>
        <u val="none"/>
        <vertAlign val="baseline"/>
        <sz val="11"/>
        <color rgb="FF0000FF"/>
        <name val="Arial"/>
        <family val="2"/>
        <scheme val="none"/>
      </font>
      <fill>
        <patternFill patternType="solid">
          <fgColor indexed="64"/>
          <bgColor rgb="FFFFFFCC"/>
        </patternFill>
      </fill>
      <border diagonalUp="0" diagonalDown="0">
        <left style="mediumDashed">
          <color indexed="64"/>
        </left>
        <right style="thick">
          <color indexed="64"/>
        </right>
        <top/>
        <bottom/>
        <vertical/>
        <horizontal/>
      </border>
      <protection locked="0" hidden="0"/>
    </dxf>
    <dxf>
      <font>
        <b val="0"/>
        <i val="0"/>
        <strike val="0"/>
        <condense val="0"/>
        <extend val="0"/>
        <outline val="0"/>
        <shadow val="0"/>
        <u val="none"/>
        <vertAlign val="baseline"/>
        <sz val="11"/>
        <color rgb="FF0000FF"/>
        <name val="Arial"/>
        <family val="2"/>
        <scheme val="none"/>
      </font>
      <fill>
        <patternFill patternType="solid">
          <fgColor indexed="64"/>
          <bgColor theme="0"/>
        </patternFill>
      </fill>
      <alignment horizontal="center" vertical="bottom" textRotation="0" wrapText="0" indent="0" justifyLastLine="0" shrinkToFit="0" readingOrder="0"/>
      <border diagonalUp="0" diagonalDown="0" outline="0">
        <left style="mediumDashed">
          <color indexed="64"/>
        </left>
        <right/>
        <top/>
        <bottom/>
      </border>
      <protection locked="1" hidden="0"/>
    </dxf>
    <dxf>
      <font>
        <b val="0"/>
        <i val="0"/>
        <strike val="0"/>
        <condense val="0"/>
        <extend val="0"/>
        <outline val="0"/>
        <shadow val="0"/>
        <u val="none"/>
        <vertAlign val="baseline"/>
        <sz val="11"/>
        <color rgb="FF0000FF"/>
        <name val="Arial"/>
        <family val="2"/>
        <scheme val="none"/>
      </font>
      <fill>
        <patternFill patternType="solid">
          <fgColor indexed="64"/>
          <bgColor rgb="FFFFFFCC"/>
        </patternFill>
      </fill>
      <border diagonalUp="0" diagonalDown="0">
        <left style="mediumDashed">
          <color indexed="64"/>
        </left>
        <right/>
        <top/>
        <bottom/>
        <vertical/>
        <horizontal/>
      </border>
      <protection locked="0" hidden="0"/>
    </dxf>
    <dxf>
      <font>
        <b val="0"/>
        <i val="0"/>
        <strike val="0"/>
        <condense val="0"/>
        <extend val="0"/>
        <outline val="0"/>
        <shadow val="0"/>
        <u val="none"/>
        <vertAlign val="baseline"/>
        <sz val="11"/>
        <color rgb="FF0000FF"/>
        <name val="Aptos Display"/>
        <family val="2"/>
        <scheme val="major"/>
      </font>
      <fill>
        <patternFill patternType="solid">
          <fgColor indexed="64"/>
          <bgColor rgb="FFFFFFCC"/>
        </patternFill>
      </fill>
      <alignment horizontal="center" vertical="bottom" textRotation="0" wrapText="0" indent="0" justifyLastLine="0" shrinkToFit="0" readingOrder="0"/>
      <border diagonalUp="0" diagonalDown="0">
        <left style="mediumDashed">
          <color indexed="64"/>
        </left>
        <right/>
        <top/>
        <bottom/>
        <vertical/>
        <horizontal/>
      </border>
      <protection locked="0" hidden="0"/>
    </dxf>
    <dxf>
      <font>
        <b val="0"/>
        <i val="0"/>
        <strike val="0"/>
        <condense val="0"/>
        <extend val="0"/>
        <outline val="0"/>
        <shadow val="0"/>
        <u val="none"/>
        <vertAlign val="baseline"/>
        <sz val="11"/>
        <color rgb="FF0000FF"/>
        <name val="Aptos Display"/>
        <family val="2"/>
        <scheme val="major"/>
      </font>
      <fill>
        <patternFill patternType="solid">
          <fgColor indexed="64"/>
          <bgColor rgb="FFFFFFCC"/>
        </patternFill>
      </fill>
      <alignment horizontal="left" vertical="bottom" textRotation="0" wrapText="0" indent="0" justifyLastLine="0" shrinkToFit="0" readingOrder="0"/>
      <border diagonalUp="0" diagonalDown="0">
        <left style="medium">
          <color indexed="64"/>
        </left>
        <right/>
        <top/>
        <bottom/>
        <vertical/>
        <horizontal/>
      </border>
      <protection locked="0" hidden="0"/>
    </dxf>
    <dxf>
      <font>
        <b val="0"/>
        <i val="0"/>
        <strike val="0"/>
        <condense val="0"/>
        <extend val="0"/>
        <outline val="0"/>
        <shadow val="0"/>
        <u val="none"/>
        <vertAlign val="baseline"/>
        <sz val="11"/>
        <color rgb="FF0000FF"/>
        <name val="Aptos Display"/>
        <family val="2"/>
        <scheme val="major"/>
      </font>
      <numFmt numFmtId="4" formatCode="#,##0.00"/>
      <fill>
        <patternFill patternType="solid">
          <fgColor indexed="64"/>
          <bgColor rgb="FFFFFFCC"/>
        </patternFill>
      </fill>
      <alignment horizontal="right" vertical="bottom" textRotation="0" wrapText="0" indent="1" justifyLastLine="0" shrinkToFit="0" readingOrder="0"/>
      <border diagonalUp="0" diagonalDown="0">
        <left style="medium">
          <color indexed="64"/>
        </left>
        <right/>
        <top/>
        <bottom/>
        <vertical/>
        <horizontal/>
      </border>
      <protection locked="0" hidden="0"/>
    </dxf>
    <dxf>
      <font>
        <b val="0"/>
        <i val="0"/>
        <strike val="0"/>
        <condense val="0"/>
        <extend val="0"/>
        <outline val="0"/>
        <shadow val="0"/>
        <u val="none"/>
        <vertAlign val="baseline"/>
        <sz val="11"/>
        <color rgb="FF0000FF"/>
        <name val="Aptos Display"/>
        <family val="2"/>
        <scheme val="major"/>
      </font>
      <numFmt numFmtId="30" formatCode="@"/>
      <fill>
        <patternFill patternType="solid">
          <fgColor indexed="64"/>
          <bgColor rgb="FFFFFFCC"/>
        </patternFill>
      </fill>
      <alignment horizontal="left" vertical="bottom" textRotation="0" wrapText="0" indent="0" justifyLastLine="0" shrinkToFit="0" readingOrder="0"/>
      <border diagonalUp="0" diagonalDown="0">
        <left style="medium">
          <color indexed="64"/>
        </left>
        <right/>
        <top/>
        <bottom/>
        <vertical/>
        <horizontal/>
      </border>
      <protection locked="0" hidden="0"/>
    </dxf>
    <dxf>
      <font>
        <b val="0"/>
        <i val="0"/>
        <strike val="0"/>
        <condense val="0"/>
        <extend val="0"/>
        <outline val="0"/>
        <shadow val="0"/>
        <u val="none"/>
        <vertAlign val="baseline"/>
        <sz val="11"/>
        <color rgb="FF0000FF"/>
        <name val="Aptos Display"/>
        <family val="2"/>
        <scheme val="major"/>
      </font>
      <numFmt numFmtId="30" formatCode="@"/>
      <fill>
        <patternFill patternType="solid">
          <fgColor indexed="64"/>
          <bgColor rgb="FFFFFFCC"/>
        </patternFill>
      </fill>
      <alignment horizontal="left" vertical="bottom" textRotation="0" wrapText="0" indent="0" justifyLastLine="0" shrinkToFit="0" readingOrder="0"/>
      <border diagonalUp="0" diagonalDown="0">
        <left style="medium">
          <color indexed="64"/>
        </left>
        <right/>
        <top/>
        <bottom/>
        <vertical/>
        <horizontal/>
      </border>
      <protection locked="0" hidden="0"/>
    </dxf>
    <dxf>
      <font>
        <b val="0"/>
        <i val="0"/>
        <strike val="0"/>
        <condense val="0"/>
        <extend val="0"/>
        <outline val="0"/>
        <shadow val="0"/>
        <u val="none"/>
        <vertAlign val="baseline"/>
        <sz val="11"/>
        <color rgb="FF0000FF"/>
        <name val="Aptos Display"/>
        <family val="2"/>
        <scheme val="major"/>
      </font>
      <numFmt numFmtId="30" formatCode="@"/>
      <fill>
        <patternFill patternType="solid">
          <fgColor indexed="64"/>
          <bgColor rgb="FFFFFFCC"/>
        </patternFill>
      </fill>
      <alignment horizontal="left" vertical="bottom" textRotation="0" wrapText="0" indent="0" justifyLastLine="0" shrinkToFit="0" readingOrder="0"/>
      <protection locked="0" hidden="0"/>
    </dxf>
    <dxf>
      <border outline="0">
        <left style="medium">
          <color indexed="64"/>
        </left>
      </border>
    </dxf>
    <dxf>
      <protection locked="1" hidden="0"/>
    </dxf>
    <dxf>
      <font>
        <b/>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mediumDashed">
          <color indexed="64"/>
        </left>
        <right style="mediumDashed">
          <color indexed="64"/>
        </right>
        <top/>
        <bottom/>
      </border>
      <protection locked="1" hidden="0"/>
    </dxf>
    <dxf>
      <font>
        <b val="0"/>
        <i val="0"/>
        <strike val="0"/>
        <condense val="0"/>
        <extend val="0"/>
        <outline val="0"/>
        <shadow val="0"/>
        <u val="none"/>
        <vertAlign val="baseline"/>
        <sz val="11"/>
        <color rgb="FF0000FF"/>
        <name val="Aptos Display"/>
        <family val="2"/>
        <scheme val="major"/>
      </font>
      <numFmt numFmtId="4" formatCode="#,##0.00"/>
      <fill>
        <patternFill patternType="solid">
          <fgColor indexed="64"/>
          <bgColor rgb="FFFFFFCC"/>
        </patternFill>
      </fill>
      <alignment horizontal="right" vertical="bottom" textRotation="0" wrapText="0" indent="1" justifyLastLine="0" shrinkToFit="0" readingOrder="0"/>
      <border diagonalUp="0" diagonalDown="0">
        <left style="medium">
          <color indexed="64"/>
        </left>
        <right style="medium">
          <color indexed="64"/>
        </right>
        <top/>
        <bottom/>
        <vertical/>
        <horizontal/>
      </border>
      <protection locked="0" hidden="0"/>
    </dxf>
    <dxf>
      <font>
        <b val="0"/>
        <i val="0"/>
        <strike val="0"/>
        <condense val="0"/>
        <extend val="0"/>
        <outline val="0"/>
        <shadow val="0"/>
        <u val="none"/>
        <vertAlign val="baseline"/>
        <sz val="11"/>
        <color rgb="FF0000FF"/>
        <name val="Aptos Display"/>
        <family val="2"/>
        <scheme val="major"/>
      </font>
      <numFmt numFmtId="30" formatCode="@"/>
      <fill>
        <patternFill patternType="solid">
          <fgColor indexed="64"/>
          <bgColor rgb="FFFFFFCC"/>
        </patternFill>
      </fill>
      <alignment horizontal="left" vertical="bottom" textRotation="0" wrapText="0" indent="0" justifyLastLine="0" shrinkToFit="0" readingOrder="0"/>
      <border diagonalUp="0" diagonalDown="0">
        <left style="medium">
          <color indexed="64"/>
        </left>
        <right style="medium">
          <color indexed="64"/>
        </right>
        <top/>
        <bottom/>
        <vertical/>
        <horizontal/>
      </border>
      <protection locked="0" hidden="0"/>
    </dxf>
    <dxf>
      <font>
        <b val="0"/>
        <i val="0"/>
        <strike val="0"/>
        <condense val="0"/>
        <extend val="0"/>
        <outline val="0"/>
        <shadow val="0"/>
        <u val="none"/>
        <vertAlign val="baseline"/>
        <sz val="11"/>
        <color rgb="FF0000FF"/>
        <name val="Aptos Display"/>
        <family val="2"/>
        <scheme val="major"/>
      </font>
      <numFmt numFmtId="30" formatCode="@"/>
      <fill>
        <patternFill patternType="solid">
          <fgColor indexed="64"/>
          <bgColor rgb="FFFFFFCC"/>
        </patternFill>
      </fill>
      <alignment horizontal="left" vertical="bottom" textRotation="0" wrapText="0" indent="0" justifyLastLine="0" shrinkToFit="0" readingOrder="0"/>
      <border diagonalUp="0" diagonalDown="0">
        <left style="medium">
          <color indexed="64"/>
        </left>
        <right style="medium">
          <color indexed="64"/>
        </right>
        <top/>
        <bottom/>
        <vertical/>
        <horizontal/>
      </border>
      <protection locked="0" hidden="0"/>
    </dxf>
    <dxf>
      <font>
        <b val="0"/>
        <i val="0"/>
        <strike val="0"/>
        <condense val="0"/>
        <extend val="0"/>
        <outline val="0"/>
        <shadow val="0"/>
        <u val="none"/>
        <vertAlign val="baseline"/>
        <sz val="11"/>
        <color rgb="FF0000FF"/>
        <name val="Aptos Display"/>
        <family val="2"/>
        <scheme val="major"/>
      </font>
      <numFmt numFmtId="30" formatCode="@"/>
      <fill>
        <patternFill patternType="solid">
          <fgColor indexed="64"/>
          <bgColor rgb="FFFFFFCC"/>
        </patternFill>
      </fill>
      <alignment horizontal="left" vertical="bottom" textRotation="0" wrapText="0" indent="0" justifyLastLine="0" shrinkToFit="0" readingOrder="0"/>
      <border diagonalUp="0" diagonalDown="0">
        <left/>
        <right style="medium">
          <color indexed="64"/>
        </right>
        <top/>
        <bottom/>
        <vertical/>
        <horizontal/>
      </border>
      <protection locked="0" hidden="0"/>
    </dxf>
    <dxf>
      <border outline="0">
        <left style="medium">
          <color indexed="64"/>
        </left>
        <right style="thick">
          <color indexed="64"/>
        </right>
        <top style="medium">
          <color indexed="64"/>
        </top>
      </border>
    </dxf>
    <dxf>
      <protection locked="0" hidden="0"/>
    </dxf>
    <dxf>
      <border outline="0">
        <bottom style="medium">
          <color indexed="64"/>
        </bottom>
      </border>
    </dxf>
    <dxf>
      <font>
        <strike val="0"/>
        <outline val="0"/>
        <shadow val="0"/>
        <u val="none"/>
        <vertAlign val="baseline"/>
        <sz val="11"/>
        <color auto="1"/>
        <name val="Arial"/>
        <family val="2"/>
        <scheme val="none"/>
      </font>
      <protection locked="1" hidden="0"/>
    </dxf>
    <dxf>
      <font>
        <b val="0"/>
        <i val="0"/>
        <strike val="0"/>
        <condense val="0"/>
        <extend val="0"/>
        <outline val="0"/>
        <shadow val="0"/>
        <u val="none"/>
        <vertAlign val="baseline"/>
        <sz val="11"/>
        <color rgb="FF0000FF"/>
        <name val="Arial"/>
        <family val="2"/>
        <scheme val="none"/>
      </font>
      <fill>
        <patternFill patternType="solid">
          <fgColor indexed="64"/>
          <bgColor rgb="FFFFFFCC"/>
        </patternFill>
      </fill>
      <border diagonalUp="0" diagonalDown="0">
        <left/>
        <right style="thick">
          <color indexed="64"/>
        </right>
        <top/>
        <bottom/>
        <vertical/>
        <horizontal/>
      </border>
      <protection locked="0" hidden="0"/>
    </dxf>
    <dxf>
      <font>
        <b val="0"/>
        <i val="0"/>
        <strike val="0"/>
        <condense val="0"/>
        <extend val="0"/>
        <outline val="0"/>
        <shadow val="0"/>
        <u val="none"/>
        <vertAlign val="baseline"/>
        <sz val="11"/>
        <color rgb="FF0000FF"/>
        <name val="Arial"/>
        <family val="2"/>
        <scheme val="none"/>
      </font>
      <numFmt numFmtId="0" formatCode="General"/>
      <fill>
        <patternFill patternType="solid">
          <fgColor indexed="64"/>
          <bgColor theme="0"/>
        </patternFill>
      </fill>
      <alignment horizontal="center" vertical="bottom" textRotation="0" wrapText="0" indent="0" justifyLastLine="0" shrinkToFit="0" readingOrder="0"/>
      <border diagonalUp="0" diagonalDown="0" outline="0">
        <left style="mediumDashed">
          <color indexed="64"/>
        </left>
        <right style="mediumDashed">
          <color indexed="64"/>
        </right>
        <top/>
        <bottom/>
      </border>
      <protection locked="1" hidden="0"/>
    </dxf>
    <dxf>
      <font>
        <b val="0"/>
        <i val="0"/>
        <strike val="0"/>
        <condense val="0"/>
        <extend val="0"/>
        <outline val="0"/>
        <shadow val="0"/>
        <u val="none"/>
        <vertAlign val="baseline"/>
        <sz val="11"/>
        <color rgb="FF0000FF"/>
        <name val="Arial"/>
        <family val="2"/>
        <scheme val="none"/>
      </font>
      <fill>
        <patternFill patternType="solid">
          <fgColor indexed="64"/>
          <bgColor rgb="FFFFFFCC"/>
        </patternFill>
      </fill>
      <border diagonalUp="0" diagonalDown="0">
        <left style="mediumDashed">
          <color indexed="64"/>
        </left>
        <right style="mediumDashed">
          <color indexed="64"/>
        </right>
        <top/>
        <bottom/>
        <vertical/>
        <horizontal/>
      </border>
      <protection locked="0" hidden="0"/>
    </dxf>
    <dxf>
      <font>
        <b val="0"/>
        <i val="0"/>
        <strike val="0"/>
        <condense val="0"/>
        <extend val="0"/>
        <outline val="0"/>
        <shadow val="0"/>
        <u val="none"/>
        <vertAlign val="baseline"/>
        <sz val="11"/>
        <color rgb="FF0000FF"/>
        <name val="Aptos Display"/>
        <family val="2"/>
        <scheme val="major"/>
      </font>
      <fill>
        <patternFill patternType="solid">
          <fgColor indexed="64"/>
          <bgColor rgb="FFFFFFCC"/>
        </patternFill>
      </fill>
      <alignment horizontal="center" vertical="bottom" textRotation="0" wrapText="0" indent="0" justifyLastLine="0" shrinkToFit="0" readingOrder="0"/>
      <border diagonalUp="0" diagonalDown="0">
        <left style="mediumDashed">
          <color indexed="64"/>
        </left>
        <right style="mediumDashed">
          <color indexed="64"/>
        </right>
        <top/>
        <bottom/>
        <vertical/>
        <horizontal/>
      </border>
      <protection locked="0" hidden="0"/>
    </dxf>
    <dxf>
      <font>
        <b val="0"/>
        <i val="0"/>
        <strike val="0"/>
        <condense val="0"/>
        <extend val="0"/>
        <outline val="0"/>
        <shadow val="0"/>
        <u val="none"/>
        <vertAlign val="baseline"/>
        <sz val="11"/>
        <color rgb="FF0000FF"/>
        <name val="Aptos Display"/>
        <family val="2"/>
        <scheme val="major"/>
      </font>
      <fill>
        <patternFill patternType="solid">
          <fgColor indexed="64"/>
          <bgColor rgb="FFFFFFCC"/>
        </patternFill>
      </fill>
      <alignment horizontal="left" vertical="bottom" textRotation="0" wrapText="0" indent="0" justifyLastLine="0" shrinkToFit="0" readingOrder="0"/>
      <border diagonalUp="0" diagonalDown="0">
        <left/>
        <right style="mediumDashed">
          <color indexed="64"/>
        </right>
        <top/>
        <bottom/>
        <vertical/>
        <horizontal/>
      </border>
      <protection locked="0" hidden="0"/>
    </dxf>
    <dxf>
      <font>
        <b val="0"/>
        <i val="0"/>
        <strike val="0"/>
        <condense val="0"/>
        <extend val="0"/>
        <outline val="0"/>
        <shadow val="0"/>
        <u val="none"/>
        <vertAlign val="baseline"/>
        <sz val="11"/>
        <color rgb="FF0000FF"/>
        <name val="Aptos Display"/>
        <family val="2"/>
        <scheme val="major"/>
      </font>
      <numFmt numFmtId="4" formatCode="#,##0.00"/>
      <fill>
        <patternFill patternType="solid">
          <fgColor indexed="64"/>
          <bgColor rgb="FFFFFFCC"/>
        </patternFill>
      </fill>
      <alignment horizontal="right" vertical="bottom" textRotation="0" wrapText="0" indent="1" justifyLastLine="0" shrinkToFit="0" readingOrder="0"/>
      <border diagonalUp="0" diagonalDown="0">
        <left/>
        <right style="medium">
          <color indexed="64"/>
        </right>
        <top/>
        <bottom/>
        <vertical/>
        <horizontal/>
      </border>
      <protection locked="0" hidden="0"/>
    </dxf>
    <dxf>
      <font>
        <b val="0"/>
        <i val="0"/>
        <strike val="0"/>
        <condense val="0"/>
        <extend val="0"/>
        <outline val="0"/>
        <shadow val="0"/>
        <u val="none"/>
        <vertAlign val="baseline"/>
        <sz val="11"/>
        <color rgb="FF0000FF"/>
        <name val="Aptos Display"/>
        <family val="2"/>
        <scheme val="major"/>
      </font>
      <numFmt numFmtId="30" formatCode="@"/>
      <fill>
        <patternFill patternType="solid">
          <fgColor indexed="64"/>
          <bgColor rgb="FFFFFFCC"/>
        </patternFill>
      </fill>
      <alignment horizontal="left" vertical="bottom" textRotation="0" wrapText="0" indent="0" justifyLastLine="0" shrinkToFit="0" readingOrder="0"/>
      <border diagonalUp="0" diagonalDown="0">
        <left style="medium">
          <color indexed="64"/>
        </left>
        <right style="medium">
          <color indexed="64"/>
        </right>
        <top/>
        <bottom/>
        <vertical/>
        <horizontal/>
      </border>
      <protection locked="0" hidden="0"/>
    </dxf>
    <dxf>
      <font>
        <b val="0"/>
        <i val="0"/>
        <strike val="0"/>
        <condense val="0"/>
        <extend val="0"/>
        <outline val="0"/>
        <shadow val="0"/>
        <u val="none"/>
        <vertAlign val="baseline"/>
        <sz val="11"/>
        <color rgb="FF0000FF"/>
        <name val="Aptos Display"/>
        <family val="2"/>
        <scheme val="major"/>
      </font>
      <numFmt numFmtId="30" formatCode="@"/>
      <fill>
        <patternFill patternType="solid">
          <fgColor indexed="64"/>
          <bgColor rgb="FFFFFFCC"/>
        </patternFill>
      </fill>
      <alignment horizontal="left" vertical="bottom" textRotation="0" wrapText="0" indent="0" justifyLastLine="0" shrinkToFit="0" readingOrder="0"/>
      <border diagonalUp="0" diagonalDown="0">
        <left style="medium">
          <color indexed="64"/>
        </left>
        <right style="medium">
          <color indexed="64"/>
        </right>
        <top/>
        <bottom/>
        <vertical/>
        <horizontal/>
      </border>
      <protection locked="0" hidden="0"/>
    </dxf>
    <dxf>
      <font>
        <b val="0"/>
        <i val="0"/>
        <strike val="0"/>
        <condense val="0"/>
        <extend val="0"/>
        <outline val="0"/>
        <shadow val="0"/>
        <u val="none"/>
        <vertAlign val="baseline"/>
        <sz val="11"/>
        <color rgb="FF0000FF"/>
        <name val="Aptos Display"/>
        <family val="2"/>
        <scheme val="major"/>
      </font>
      <numFmt numFmtId="30" formatCode="@"/>
      <fill>
        <patternFill patternType="solid">
          <fgColor indexed="64"/>
          <bgColor rgb="FFFFFFCC"/>
        </patternFill>
      </fill>
      <alignment horizontal="left" vertical="bottom" textRotation="0" wrapText="0" indent="0" justifyLastLine="0" shrinkToFit="0" readingOrder="0"/>
      <border diagonalUp="0" diagonalDown="0">
        <left/>
        <right style="medium">
          <color indexed="64"/>
        </right>
        <top/>
        <bottom/>
        <vertical/>
        <horizontal/>
      </border>
      <protection locked="0" hidden="0"/>
    </dxf>
    <dxf>
      <border outline="0">
        <left style="medium">
          <color indexed="64"/>
        </left>
      </border>
    </dxf>
    <dxf>
      <protection locked="1" hidden="0"/>
    </dxf>
    <dxf>
      <border outline="0">
        <bottom style="medium">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mediumDashed">
          <color indexed="64"/>
        </left>
        <right style="mediumDashed">
          <color indexed="64"/>
        </right>
        <top/>
        <bottom/>
      </border>
      <protection locked="1" hidden="0"/>
    </dxf>
    <dxf>
      <font>
        <b/>
        <i val="0"/>
        <strike val="0"/>
        <condense val="0"/>
        <extend val="0"/>
        <outline val="0"/>
        <shadow val="0"/>
        <u val="none"/>
        <vertAlign val="baseline"/>
        <sz val="11"/>
        <color theme="1"/>
        <name val="Arial"/>
        <family val="2"/>
        <scheme val="none"/>
      </font>
    </dxf>
    <dxf>
      <alignment horizontal="center" vertical="bottom" textRotation="0" wrapText="0" indent="0" justifyLastLine="0" shrinkToFit="0" readingOrder="0"/>
    </dxf>
    <dxf>
      <font>
        <b/>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1"/>
        <color theme="1"/>
        <name val="Arial"/>
        <family val="2"/>
        <scheme val="none"/>
      </font>
    </dxf>
    <dxf>
      <font>
        <b/>
        <i val="0"/>
        <strike val="0"/>
        <condense val="0"/>
        <extend val="0"/>
        <outline val="0"/>
        <shadow val="0"/>
        <u val="none"/>
        <vertAlign val="baseline"/>
        <sz val="11"/>
        <color theme="1"/>
        <name val="Arial"/>
        <family val="2"/>
        <scheme val="none"/>
      </font>
    </dxf>
    <dxf>
      <fill>
        <patternFill patternType="none">
          <fgColor indexed="64"/>
          <bgColor indexed="65"/>
        </patternFill>
      </fill>
    </dxf>
    <dxf>
      <alignment horizontal="center" vertical="bottom" textRotation="0" wrapText="0" indent="0" justifyLastLine="0" shrinkToFit="0" readingOrder="0"/>
    </dxf>
    <dxf>
      <font>
        <b/>
        <i val="0"/>
        <strike val="0"/>
        <condense val="0"/>
        <extend val="0"/>
        <outline val="0"/>
        <shadow val="0"/>
        <u val="none"/>
        <vertAlign val="baseline"/>
        <sz val="11"/>
        <color theme="1"/>
        <name val="Aptos Narrow"/>
        <family val="2"/>
        <scheme val="minor"/>
      </font>
      <fill>
        <patternFill patternType="solid">
          <fgColor indexed="64"/>
          <bgColor rgb="FFFFF19D"/>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ptos Narrow"/>
        <family val="2"/>
        <scheme val="minor"/>
      </font>
      <alignment horizontal="center" vertical="bottom" textRotation="0" wrapText="0" indent="0" justifyLastLine="0" shrinkToFit="0" readingOrder="0"/>
    </dxf>
    <dxf>
      <border outline="0">
        <top style="thin">
          <color theme="7"/>
        </top>
        <bottom style="thin">
          <color theme="7"/>
        </bottom>
      </border>
    </dxf>
    <dxf>
      <font>
        <strike val="0"/>
        <outline val="0"/>
        <shadow val="0"/>
        <u val="none"/>
        <vertAlign val="baseline"/>
        <sz val="11"/>
        <color theme="1"/>
        <name val="Aptos Narrow"/>
        <family val="2"/>
        <scheme val="minor"/>
      </font>
    </dxf>
    <dxf>
      <font>
        <b/>
        <i val="0"/>
        <strike val="0"/>
        <condense val="0"/>
        <extend val="0"/>
        <outline val="0"/>
        <shadow val="0"/>
        <u val="none"/>
        <vertAlign val="baseline"/>
        <sz val="11"/>
        <color theme="1"/>
        <name val="Aptos Narrow"/>
        <family val="2"/>
        <scheme val="minor"/>
      </font>
      <fill>
        <patternFill patternType="solid">
          <fgColor indexed="64"/>
          <bgColor rgb="FFFFF19D"/>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Arial"/>
        <family val="2"/>
        <scheme val="none"/>
      </font>
    </dxf>
    <dxf>
      <font>
        <b/>
        <i val="0"/>
        <strike val="0"/>
        <condense val="0"/>
        <extend val="0"/>
        <outline val="0"/>
        <shadow val="0"/>
        <u val="none"/>
        <vertAlign val="baseline"/>
        <sz val="11"/>
        <color theme="1"/>
        <name val="Arial"/>
        <family val="2"/>
        <scheme val="none"/>
      </font>
    </dxf>
    <dxf>
      <font>
        <b/>
        <i val="0"/>
        <strike val="0"/>
        <condense val="0"/>
        <extend val="0"/>
        <outline val="0"/>
        <shadow val="0"/>
        <u val="none"/>
        <vertAlign val="baseline"/>
        <sz val="11"/>
        <color theme="1"/>
        <name val="Arial"/>
        <family val="2"/>
        <scheme val="none"/>
      </font>
    </dxf>
  </dxfs>
  <tableStyles count="1" defaultTableStyle="TableStyleMedium2" defaultPivotStyle="PivotStyleLight16">
    <tableStyle name="Table Style 1" pivot="0" count="0" xr9:uid="{ACC935D7-7E03-3043-A304-F762C0C6D950}"/>
  </tableStyles>
  <colors>
    <mruColors>
      <color rgb="FF0000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 Graphs'!$D$6</c:f>
          <c:strCache>
            <c:ptCount val="1"/>
            <c:pt idx="0">
              <c:v>FILL IN</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Cumulative Direct Expenses</c:v>
          </c:tx>
          <c:spPr>
            <a:ln w="25400" cap="rnd">
              <a:noFill/>
              <a:round/>
            </a:ln>
            <a:effectLst/>
          </c:spPr>
          <c:marker>
            <c:symbol val="circle"/>
            <c:size val="5"/>
            <c:spPr>
              <a:solidFill>
                <a:schemeClr val="accent1"/>
              </a:solidFill>
              <a:ln w="9525">
                <a:solidFill>
                  <a:schemeClr val="accent1"/>
                </a:solidFill>
              </a:ln>
              <a:effectLst/>
            </c:spPr>
          </c:marker>
          <c:xVal>
            <c:numRef>
              <c:f>'Summary - Graphs'!$A$97:$A$120</c:f>
              <c:numCache>
                <c:formatCode>General</c:formatCod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numCache>
            </c:numRef>
          </c:xVal>
          <c:yVal>
            <c:numRef>
              <c:f>'Summary - Graphs'!$D$97:$D$120</c:f>
              <c:numCache>
                <c:formatCode>_(* #,##0.00_);_(* \(#,##0.00\);_(* "-"??_);_(@_)</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yVal>
          <c:smooth val="0"/>
          <c:extLst>
            <c:ext xmlns:c16="http://schemas.microsoft.com/office/drawing/2014/chart" uri="{C3380CC4-5D6E-409C-BE32-E72D297353CC}">
              <c16:uniqueId val="{00000000-FB38-4C5A-A6D3-E4CD3757939B}"/>
            </c:ext>
          </c:extLst>
        </c:ser>
        <c:ser>
          <c:idx val="1"/>
          <c:order val="1"/>
          <c:tx>
            <c:v>Cumulative Budget (Directs)</c:v>
          </c:tx>
          <c:spPr>
            <a:ln w="25400" cap="rnd">
              <a:noFill/>
              <a:round/>
            </a:ln>
            <a:effectLst/>
          </c:spPr>
          <c:marker>
            <c:symbol val="circle"/>
            <c:size val="5"/>
            <c:spPr>
              <a:solidFill>
                <a:schemeClr val="accent2"/>
              </a:solidFill>
              <a:ln w="9525">
                <a:solidFill>
                  <a:schemeClr val="accent2"/>
                </a:solidFill>
              </a:ln>
              <a:effectLst/>
            </c:spPr>
          </c:marker>
          <c:xVal>
            <c:numRef>
              <c:f>'Summary - Graphs'!$A$38:$A$61</c:f>
              <c:numCache>
                <c:formatCode>General</c:formatCod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numCache>
            </c:numRef>
          </c:xVal>
          <c:yVal>
            <c:numRef>
              <c:f>'Summary - Graphs'!$D$38:$D$61</c:f>
              <c:numCache>
                <c:formatCode>_(* #,##0.00_);_(* \(#,##0.00\);_(* "-"??_);_(@_)</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yVal>
          <c:smooth val="0"/>
          <c:extLst>
            <c:ext xmlns:c16="http://schemas.microsoft.com/office/drawing/2014/chart" uri="{C3380CC4-5D6E-409C-BE32-E72D297353CC}">
              <c16:uniqueId val="{00000001-FB38-4C5A-A6D3-E4CD3757939B}"/>
            </c:ext>
          </c:extLst>
        </c:ser>
        <c:dLbls>
          <c:showLegendKey val="0"/>
          <c:showVal val="0"/>
          <c:showCatName val="0"/>
          <c:showSerName val="0"/>
          <c:showPercent val="0"/>
          <c:showBubbleSize val="0"/>
        </c:dLbls>
        <c:axId val="300498431"/>
        <c:axId val="1862666687"/>
      </c:scatterChart>
      <c:valAx>
        <c:axId val="30049843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2666687"/>
        <c:crosses val="autoZero"/>
        <c:crossBetween val="midCat"/>
      </c:valAx>
      <c:valAx>
        <c:axId val="1862666687"/>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00498431"/>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 Graphs'!$D$6</c:f>
          <c:strCache>
            <c:ptCount val="1"/>
            <c:pt idx="0">
              <c:v>FILL IN</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Cumulative InDirect Expenses</c:v>
          </c:tx>
          <c:spPr>
            <a:ln w="25400" cap="rnd">
              <a:noFill/>
              <a:round/>
            </a:ln>
            <a:effectLst/>
          </c:spPr>
          <c:marker>
            <c:symbol val="circle"/>
            <c:size val="5"/>
            <c:spPr>
              <a:solidFill>
                <a:schemeClr val="accent1"/>
              </a:solidFill>
              <a:ln w="9525">
                <a:solidFill>
                  <a:schemeClr val="accent1"/>
                </a:solidFill>
              </a:ln>
              <a:effectLst/>
            </c:spPr>
          </c:marker>
          <c:xVal>
            <c:numRef>
              <c:f>'Summary - Graphs'!$A$97:$A$120</c:f>
              <c:numCache>
                <c:formatCode>General</c:formatCod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numCache>
            </c:numRef>
          </c:xVal>
          <c:yVal>
            <c:numRef>
              <c:f>'Summary - Graphs'!$E$97:$E$120</c:f>
              <c:numCache>
                <c:formatCode>_(* #,##0.00_);_(* \(#,##0.00\);_(* "-"??_);_(@_)</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yVal>
          <c:smooth val="0"/>
          <c:extLst>
            <c:ext xmlns:c16="http://schemas.microsoft.com/office/drawing/2014/chart" uri="{C3380CC4-5D6E-409C-BE32-E72D297353CC}">
              <c16:uniqueId val="{00000000-48F1-49D8-8369-6D3DD08D17D2}"/>
            </c:ext>
          </c:extLst>
        </c:ser>
        <c:ser>
          <c:idx val="1"/>
          <c:order val="1"/>
          <c:tx>
            <c:v>Cumulative Budget (Indirects)</c:v>
          </c:tx>
          <c:spPr>
            <a:ln w="25400" cap="rnd">
              <a:noFill/>
              <a:round/>
            </a:ln>
            <a:effectLst/>
          </c:spPr>
          <c:marker>
            <c:symbol val="circle"/>
            <c:size val="5"/>
            <c:spPr>
              <a:solidFill>
                <a:schemeClr val="accent2"/>
              </a:solidFill>
              <a:ln w="9525">
                <a:solidFill>
                  <a:schemeClr val="accent2"/>
                </a:solidFill>
              </a:ln>
              <a:effectLst/>
            </c:spPr>
          </c:marker>
          <c:xVal>
            <c:numRef>
              <c:f>'Summary - Graphs'!$A$38:$A$61</c:f>
              <c:numCache>
                <c:formatCode>General</c:formatCod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numCache>
            </c:numRef>
          </c:xVal>
          <c:yVal>
            <c:numRef>
              <c:f>'Summary - Graphs'!$E$38:$E$61</c:f>
              <c:numCache>
                <c:formatCode>_(* #,##0.00_);_(* \(#,##0.00\);_(* "-"??_);_(@_)</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yVal>
          <c:smooth val="0"/>
          <c:extLst>
            <c:ext xmlns:c16="http://schemas.microsoft.com/office/drawing/2014/chart" uri="{C3380CC4-5D6E-409C-BE32-E72D297353CC}">
              <c16:uniqueId val="{00000001-48F1-49D8-8369-6D3DD08D17D2}"/>
            </c:ext>
          </c:extLst>
        </c:ser>
        <c:dLbls>
          <c:showLegendKey val="0"/>
          <c:showVal val="0"/>
          <c:showCatName val="0"/>
          <c:showSerName val="0"/>
          <c:showPercent val="0"/>
          <c:showBubbleSize val="0"/>
        </c:dLbls>
        <c:axId val="300498431"/>
        <c:axId val="1862666687"/>
      </c:scatterChart>
      <c:valAx>
        <c:axId val="30049843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2666687"/>
        <c:crosses val="autoZero"/>
        <c:crossBetween val="midCat"/>
      </c:valAx>
      <c:valAx>
        <c:axId val="1862666687"/>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00498431"/>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219076</xdr:colOff>
      <xdr:row>0</xdr:row>
      <xdr:rowOff>0</xdr:rowOff>
    </xdr:from>
    <xdr:to>
      <xdr:col>3</xdr:col>
      <xdr:colOff>1304925</xdr:colOff>
      <xdr:row>6</xdr:row>
      <xdr:rowOff>163644</xdr:rowOff>
    </xdr:to>
    <xdr:pic>
      <xdr:nvPicPr>
        <xdr:cNvPr id="2" name="Picture 1">
          <a:extLst>
            <a:ext uri="{FF2B5EF4-FFF2-40B4-BE49-F238E27FC236}">
              <a16:creationId xmlns:a16="http://schemas.microsoft.com/office/drawing/2014/main" id="{1B522378-2B83-4A82-ACD4-32CB92AB25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6" y="0"/>
          <a:ext cx="4752975" cy="11971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16668</xdr:colOff>
      <xdr:row>95</xdr:row>
      <xdr:rowOff>138112</xdr:rowOff>
    </xdr:from>
    <xdr:to>
      <xdr:col>14</xdr:col>
      <xdr:colOff>102393</xdr:colOff>
      <xdr:row>111</xdr:row>
      <xdr:rowOff>133349</xdr:rowOff>
    </xdr:to>
    <xdr:graphicFrame macro="">
      <xdr:nvGraphicFramePr>
        <xdr:cNvPr id="2" name="Chart 1">
          <a:extLst>
            <a:ext uri="{FF2B5EF4-FFF2-40B4-BE49-F238E27FC236}">
              <a16:creationId xmlns:a16="http://schemas.microsoft.com/office/drawing/2014/main" id="{E8A4E251-1B78-DE9A-8FCD-1F2CFCFD30E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0</xdr:colOff>
      <xdr:row>117</xdr:row>
      <xdr:rowOff>0</xdr:rowOff>
    </xdr:from>
    <xdr:to>
      <xdr:col>14</xdr:col>
      <xdr:colOff>85725</xdr:colOff>
      <xdr:row>132</xdr:row>
      <xdr:rowOff>147636</xdr:rowOff>
    </xdr:to>
    <xdr:graphicFrame macro="">
      <xdr:nvGraphicFramePr>
        <xdr:cNvPr id="3" name="Chart 2">
          <a:extLst>
            <a:ext uri="{FF2B5EF4-FFF2-40B4-BE49-F238E27FC236}">
              <a16:creationId xmlns:a16="http://schemas.microsoft.com/office/drawing/2014/main" id="{EBCC9F4A-F61C-4842-B912-9A9224F765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215900</xdr:colOff>
      <xdr:row>0</xdr:row>
      <xdr:rowOff>0</xdr:rowOff>
    </xdr:from>
    <xdr:to>
      <xdr:col>5</xdr:col>
      <xdr:colOff>430465</xdr:colOff>
      <xdr:row>7</xdr:row>
      <xdr:rowOff>10010</xdr:rowOff>
    </xdr:to>
    <xdr:pic>
      <xdr:nvPicPr>
        <xdr:cNvPr id="2" name="Picture 1">
          <a:extLst>
            <a:ext uri="{FF2B5EF4-FFF2-40B4-BE49-F238E27FC236}">
              <a16:creationId xmlns:a16="http://schemas.microsoft.com/office/drawing/2014/main" id="{FE5782D4-9A8E-4ED2-A729-E2B3474251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0"/>
          <a:ext cx="4859590" cy="127683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219076</xdr:colOff>
      <xdr:row>0</xdr:row>
      <xdr:rowOff>0</xdr:rowOff>
    </xdr:from>
    <xdr:to>
      <xdr:col>3</xdr:col>
      <xdr:colOff>1304925</xdr:colOff>
      <xdr:row>6</xdr:row>
      <xdr:rowOff>163644</xdr:rowOff>
    </xdr:to>
    <xdr:pic>
      <xdr:nvPicPr>
        <xdr:cNvPr id="2" name="Picture 1">
          <a:extLst>
            <a:ext uri="{FF2B5EF4-FFF2-40B4-BE49-F238E27FC236}">
              <a16:creationId xmlns:a16="http://schemas.microsoft.com/office/drawing/2014/main" id="{89C0330A-847F-410E-82BB-488ED00561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57737" cy="1197107"/>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3" name="Picture 2">
          <a:extLst>
            <a:ext uri="{FF2B5EF4-FFF2-40B4-BE49-F238E27FC236}">
              <a16:creationId xmlns:a16="http://schemas.microsoft.com/office/drawing/2014/main" id="{C596F0B8-01D0-4BE5-9822-F620EEF560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57737" cy="1197107"/>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4" name="Picture 3">
          <a:extLst>
            <a:ext uri="{FF2B5EF4-FFF2-40B4-BE49-F238E27FC236}">
              <a16:creationId xmlns:a16="http://schemas.microsoft.com/office/drawing/2014/main" id="{E59AFDC2-6B2D-447C-AADA-D2B1D913AC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57737" cy="1197107"/>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5" name="Picture 4">
          <a:extLst>
            <a:ext uri="{FF2B5EF4-FFF2-40B4-BE49-F238E27FC236}">
              <a16:creationId xmlns:a16="http://schemas.microsoft.com/office/drawing/2014/main" id="{CDF709A0-0BB9-4C2E-9E52-594F6C3353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57737" cy="1197107"/>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6" name="Picture 5">
          <a:extLst>
            <a:ext uri="{FF2B5EF4-FFF2-40B4-BE49-F238E27FC236}">
              <a16:creationId xmlns:a16="http://schemas.microsoft.com/office/drawing/2014/main" id="{192BE60D-3ED0-46B6-B6AC-2CEFB99C34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57737" cy="1197107"/>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7" name="Picture 6">
          <a:extLst>
            <a:ext uri="{FF2B5EF4-FFF2-40B4-BE49-F238E27FC236}">
              <a16:creationId xmlns:a16="http://schemas.microsoft.com/office/drawing/2014/main" id="{C245A446-705C-4A6D-93B3-03BD5D38F4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57737" cy="1197107"/>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8" name="Picture 7">
          <a:extLst>
            <a:ext uri="{FF2B5EF4-FFF2-40B4-BE49-F238E27FC236}">
              <a16:creationId xmlns:a16="http://schemas.microsoft.com/office/drawing/2014/main" id="{833BAF3B-073F-4CFE-A659-53F010892D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57737" cy="1197107"/>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9" name="Picture 8">
          <a:extLst>
            <a:ext uri="{FF2B5EF4-FFF2-40B4-BE49-F238E27FC236}">
              <a16:creationId xmlns:a16="http://schemas.microsoft.com/office/drawing/2014/main" id="{EE3D136F-9F46-403C-B214-3B364FD4E7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57737" cy="1197107"/>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10" name="Picture 9">
          <a:extLst>
            <a:ext uri="{FF2B5EF4-FFF2-40B4-BE49-F238E27FC236}">
              <a16:creationId xmlns:a16="http://schemas.microsoft.com/office/drawing/2014/main" id="{761931B5-58E5-49F3-8470-DD56E5D644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57737" cy="1197107"/>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11" name="Picture 10">
          <a:extLst>
            <a:ext uri="{FF2B5EF4-FFF2-40B4-BE49-F238E27FC236}">
              <a16:creationId xmlns:a16="http://schemas.microsoft.com/office/drawing/2014/main" id="{BC3ECB4E-F6B5-4453-A7EF-8E2251592B6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57737" cy="1197107"/>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12" name="Picture 11">
          <a:extLst>
            <a:ext uri="{FF2B5EF4-FFF2-40B4-BE49-F238E27FC236}">
              <a16:creationId xmlns:a16="http://schemas.microsoft.com/office/drawing/2014/main" id="{61CBE481-5570-47E6-A129-513751CC7B0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57737" cy="1197107"/>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13" name="Picture 12">
          <a:extLst>
            <a:ext uri="{FF2B5EF4-FFF2-40B4-BE49-F238E27FC236}">
              <a16:creationId xmlns:a16="http://schemas.microsoft.com/office/drawing/2014/main" id="{778329D5-7660-43E8-BDE4-7C86D66ACE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57737" cy="1197107"/>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14" name="Picture 13">
          <a:extLst>
            <a:ext uri="{FF2B5EF4-FFF2-40B4-BE49-F238E27FC236}">
              <a16:creationId xmlns:a16="http://schemas.microsoft.com/office/drawing/2014/main" id="{1E1FE710-104B-462D-852C-2AE29199E7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57737" cy="1197107"/>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15" name="Picture 14">
          <a:extLst>
            <a:ext uri="{FF2B5EF4-FFF2-40B4-BE49-F238E27FC236}">
              <a16:creationId xmlns:a16="http://schemas.microsoft.com/office/drawing/2014/main" id="{D7D38EEC-F9B1-4F28-8188-F2A7D91FD0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57737" cy="1197107"/>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16" name="Picture 15">
          <a:extLst>
            <a:ext uri="{FF2B5EF4-FFF2-40B4-BE49-F238E27FC236}">
              <a16:creationId xmlns:a16="http://schemas.microsoft.com/office/drawing/2014/main" id="{770EDF5F-F870-4D4F-BB7F-7FFAEBF3CA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57737" cy="1197107"/>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17" name="Picture 16">
          <a:extLst>
            <a:ext uri="{FF2B5EF4-FFF2-40B4-BE49-F238E27FC236}">
              <a16:creationId xmlns:a16="http://schemas.microsoft.com/office/drawing/2014/main" id="{7B9AEB2A-AD35-F14D-8766-B9EBD37E83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876" y="0"/>
          <a:ext cx="4756149" cy="1230444"/>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18" name="Picture 17">
          <a:extLst>
            <a:ext uri="{FF2B5EF4-FFF2-40B4-BE49-F238E27FC236}">
              <a16:creationId xmlns:a16="http://schemas.microsoft.com/office/drawing/2014/main" id="{419A0608-6914-1C43-ACC9-682DCA55DF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876" y="0"/>
          <a:ext cx="4756149" cy="1230444"/>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19" name="Picture 18">
          <a:extLst>
            <a:ext uri="{FF2B5EF4-FFF2-40B4-BE49-F238E27FC236}">
              <a16:creationId xmlns:a16="http://schemas.microsoft.com/office/drawing/2014/main" id="{1D62C752-5EF1-4B4D-B622-697BCC59E3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876" y="0"/>
          <a:ext cx="4756149" cy="1230444"/>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20" name="Picture 19">
          <a:extLst>
            <a:ext uri="{FF2B5EF4-FFF2-40B4-BE49-F238E27FC236}">
              <a16:creationId xmlns:a16="http://schemas.microsoft.com/office/drawing/2014/main" id="{AC01911F-EBD8-2A47-B05C-3D826D1E7B7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876" y="0"/>
          <a:ext cx="4756149" cy="1230444"/>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21" name="Picture 20">
          <a:extLst>
            <a:ext uri="{FF2B5EF4-FFF2-40B4-BE49-F238E27FC236}">
              <a16:creationId xmlns:a16="http://schemas.microsoft.com/office/drawing/2014/main" id="{79F9DA2C-A21D-FC4C-B1B9-2C6AA8C98A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876" y="0"/>
          <a:ext cx="4756149" cy="1230444"/>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22" name="Picture 21">
          <a:extLst>
            <a:ext uri="{FF2B5EF4-FFF2-40B4-BE49-F238E27FC236}">
              <a16:creationId xmlns:a16="http://schemas.microsoft.com/office/drawing/2014/main" id="{403C151A-A0C8-F848-BD42-9B68AF4C617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876" y="0"/>
          <a:ext cx="4756149" cy="1230444"/>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23" name="Picture 22">
          <a:extLst>
            <a:ext uri="{FF2B5EF4-FFF2-40B4-BE49-F238E27FC236}">
              <a16:creationId xmlns:a16="http://schemas.microsoft.com/office/drawing/2014/main" id="{255029CE-BF97-5B4B-A69C-CD086C18F5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876" y="0"/>
          <a:ext cx="4756149" cy="1230444"/>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24" name="Picture 23">
          <a:extLst>
            <a:ext uri="{FF2B5EF4-FFF2-40B4-BE49-F238E27FC236}">
              <a16:creationId xmlns:a16="http://schemas.microsoft.com/office/drawing/2014/main" id="{D373D186-D7EF-B243-82D2-89039A7CCD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876" y="0"/>
          <a:ext cx="4756149" cy="1230444"/>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25" name="Picture 24">
          <a:extLst>
            <a:ext uri="{FF2B5EF4-FFF2-40B4-BE49-F238E27FC236}">
              <a16:creationId xmlns:a16="http://schemas.microsoft.com/office/drawing/2014/main" id="{32A6536F-579B-48D8-9049-A0558285CB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5289" y="0"/>
          <a:ext cx="4757736" cy="1197107"/>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26" name="Picture 25">
          <a:extLst>
            <a:ext uri="{FF2B5EF4-FFF2-40B4-BE49-F238E27FC236}">
              <a16:creationId xmlns:a16="http://schemas.microsoft.com/office/drawing/2014/main" id="{3CCA7A79-1222-4498-948E-957010BDDE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5289" y="0"/>
          <a:ext cx="4757736" cy="1197107"/>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27" name="Picture 26">
          <a:extLst>
            <a:ext uri="{FF2B5EF4-FFF2-40B4-BE49-F238E27FC236}">
              <a16:creationId xmlns:a16="http://schemas.microsoft.com/office/drawing/2014/main" id="{461747E5-B147-49FA-BD71-F46FA447B9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5289" y="0"/>
          <a:ext cx="4757736" cy="1197107"/>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28" name="Picture 27">
          <a:extLst>
            <a:ext uri="{FF2B5EF4-FFF2-40B4-BE49-F238E27FC236}">
              <a16:creationId xmlns:a16="http://schemas.microsoft.com/office/drawing/2014/main" id="{598F33B2-0251-40D2-881E-1549F92515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5289" y="0"/>
          <a:ext cx="4757736" cy="1197107"/>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29" name="Picture 28">
          <a:extLst>
            <a:ext uri="{FF2B5EF4-FFF2-40B4-BE49-F238E27FC236}">
              <a16:creationId xmlns:a16="http://schemas.microsoft.com/office/drawing/2014/main" id="{1F13947D-6AC2-4FC5-A358-BF8467ED60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62499" cy="1201869"/>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30" name="Picture 29">
          <a:extLst>
            <a:ext uri="{FF2B5EF4-FFF2-40B4-BE49-F238E27FC236}">
              <a16:creationId xmlns:a16="http://schemas.microsoft.com/office/drawing/2014/main" id="{CDA337FD-FC8D-4C3B-9331-89DE8B7A75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62499" cy="1201869"/>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31" name="Picture 30">
          <a:extLst>
            <a:ext uri="{FF2B5EF4-FFF2-40B4-BE49-F238E27FC236}">
              <a16:creationId xmlns:a16="http://schemas.microsoft.com/office/drawing/2014/main" id="{CADEA852-30C7-4ACB-AD50-795AD07F9D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62499" cy="1201869"/>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32" name="Picture 31">
          <a:extLst>
            <a:ext uri="{FF2B5EF4-FFF2-40B4-BE49-F238E27FC236}">
              <a16:creationId xmlns:a16="http://schemas.microsoft.com/office/drawing/2014/main" id="{B7351A33-1828-4E17-B138-8094F4649F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62499" cy="1201869"/>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33" name="Picture 32">
          <a:extLst>
            <a:ext uri="{FF2B5EF4-FFF2-40B4-BE49-F238E27FC236}">
              <a16:creationId xmlns:a16="http://schemas.microsoft.com/office/drawing/2014/main" id="{8136E390-272E-4BCF-A156-98997B8FCD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62499" cy="1201869"/>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34" name="Picture 33">
          <a:extLst>
            <a:ext uri="{FF2B5EF4-FFF2-40B4-BE49-F238E27FC236}">
              <a16:creationId xmlns:a16="http://schemas.microsoft.com/office/drawing/2014/main" id="{71CD6B89-E0AA-4599-8478-1AB111E741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62499" cy="1201869"/>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35" name="Picture 34">
          <a:extLst>
            <a:ext uri="{FF2B5EF4-FFF2-40B4-BE49-F238E27FC236}">
              <a16:creationId xmlns:a16="http://schemas.microsoft.com/office/drawing/2014/main" id="{21D2ED5B-4398-4285-A42F-39734B3F58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62499" cy="1201869"/>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36" name="Picture 35">
          <a:extLst>
            <a:ext uri="{FF2B5EF4-FFF2-40B4-BE49-F238E27FC236}">
              <a16:creationId xmlns:a16="http://schemas.microsoft.com/office/drawing/2014/main" id="{815054B5-A88F-4EFD-A564-6F586B5144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62499" cy="1201869"/>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37" name="Picture 36">
          <a:extLst>
            <a:ext uri="{FF2B5EF4-FFF2-40B4-BE49-F238E27FC236}">
              <a16:creationId xmlns:a16="http://schemas.microsoft.com/office/drawing/2014/main" id="{1C823BCF-7BFE-43AB-BAEE-C1C80D0CCC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62499" cy="1201869"/>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38" name="Picture 37">
          <a:extLst>
            <a:ext uri="{FF2B5EF4-FFF2-40B4-BE49-F238E27FC236}">
              <a16:creationId xmlns:a16="http://schemas.microsoft.com/office/drawing/2014/main" id="{3888AE02-D842-4DB4-8080-3DA1A42AAE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1" y="0"/>
          <a:ext cx="4762499" cy="1201869"/>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39" name="Picture 38">
          <a:extLst>
            <a:ext uri="{FF2B5EF4-FFF2-40B4-BE49-F238E27FC236}">
              <a16:creationId xmlns:a16="http://schemas.microsoft.com/office/drawing/2014/main" id="{C5A682AB-A2B9-3343-9CD6-BABAEA1D27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876" y="0"/>
          <a:ext cx="4756149" cy="1230444"/>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40" name="Picture 39">
          <a:extLst>
            <a:ext uri="{FF2B5EF4-FFF2-40B4-BE49-F238E27FC236}">
              <a16:creationId xmlns:a16="http://schemas.microsoft.com/office/drawing/2014/main" id="{9BDD9E21-4DD7-8741-9A68-0C0E7B1A60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876" y="0"/>
          <a:ext cx="4756149" cy="1230444"/>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41" name="Picture 40">
          <a:extLst>
            <a:ext uri="{FF2B5EF4-FFF2-40B4-BE49-F238E27FC236}">
              <a16:creationId xmlns:a16="http://schemas.microsoft.com/office/drawing/2014/main" id="{1372233F-9ACE-674F-B40A-98EE6575B2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876" y="0"/>
          <a:ext cx="4756149" cy="1230444"/>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42" name="Picture 41">
          <a:extLst>
            <a:ext uri="{FF2B5EF4-FFF2-40B4-BE49-F238E27FC236}">
              <a16:creationId xmlns:a16="http://schemas.microsoft.com/office/drawing/2014/main" id="{5B78AA59-F54E-8147-9A7D-62937C4E94D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876" y="0"/>
          <a:ext cx="4756149" cy="1230444"/>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43" name="Picture 42">
          <a:extLst>
            <a:ext uri="{FF2B5EF4-FFF2-40B4-BE49-F238E27FC236}">
              <a16:creationId xmlns:a16="http://schemas.microsoft.com/office/drawing/2014/main" id="{283FF209-9DA4-724B-B59A-993AABEE2A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876" y="0"/>
          <a:ext cx="4756149" cy="1230444"/>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44" name="Picture 43">
          <a:extLst>
            <a:ext uri="{FF2B5EF4-FFF2-40B4-BE49-F238E27FC236}">
              <a16:creationId xmlns:a16="http://schemas.microsoft.com/office/drawing/2014/main" id="{6596E470-0D77-814B-B31B-1CC340A8E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876" y="0"/>
          <a:ext cx="4756149" cy="1230444"/>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45" name="Picture 44">
          <a:extLst>
            <a:ext uri="{FF2B5EF4-FFF2-40B4-BE49-F238E27FC236}">
              <a16:creationId xmlns:a16="http://schemas.microsoft.com/office/drawing/2014/main" id="{A896EBC3-33D8-9541-9C8B-0CEC06698F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876" y="0"/>
          <a:ext cx="4756149" cy="1230444"/>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46" name="Picture 45">
          <a:extLst>
            <a:ext uri="{FF2B5EF4-FFF2-40B4-BE49-F238E27FC236}">
              <a16:creationId xmlns:a16="http://schemas.microsoft.com/office/drawing/2014/main" id="{B450304D-4F0B-E241-B437-4F25089D8F5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876" y="0"/>
          <a:ext cx="4756149" cy="1230444"/>
        </a:xfrm>
        <a:prstGeom prst="rect">
          <a:avLst/>
        </a:prstGeom>
      </xdr:spPr>
    </xdr:pic>
    <xdr:clientData/>
  </xdr:twoCellAnchor>
  <xdr:twoCellAnchor editAs="oneCell">
    <xdr:from>
      <xdr:col>1</xdr:col>
      <xdr:colOff>219076</xdr:colOff>
      <xdr:row>0</xdr:row>
      <xdr:rowOff>0</xdr:rowOff>
    </xdr:from>
    <xdr:to>
      <xdr:col>3</xdr:col>
      <xdr:colOff>1304925</xdr:colOff>
      <xdr:row>6</xdr:row>
      <xdr:rowOff>163644</xdr:rowOff>
    </xdr:to>
    <xdr:pic>
      <xdr:nvPicPr>
        <xdr:cNvPr id="47" name="Picture 46">
          <a:extLst>
            <a:ext uri="{FF2B5EF4-FFF2-40B4-BE49-F238E27FC236}">
              <a16:creationId xmlns:a16="http://schemas.microsoft.com/office/drawing/2014/main" id="{0D737084-8F0D-5443-97AF-246D893AB2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876" y="0"/>
          <a:ext cx="4756149" cy="123044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7D955F25-F829-4309-B138-B8F0515EF38C}" name="TableProject" displayName="TableProject" ref="B6:B36" totalsRowShown="0" headerRowDxfId="200">
  <autoFilter ref="B6:B36" xr:uid="{7D955F25-F829-4309-B138-B8F0515EF38C}">
    <filterColumn colId="0" hiddenButton="1"/>
  </autoFilter>
  <tableColumns count="1">
    <tableColumn id="1" xr3:uid="{45604E54-5F36-4100-A1FB-30510A0DDB66}" name="Project Nature"/>
  </tableColumns>
  <tableStyleInfo name="TableStyleMedium2"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F52731A-8271-C34B-AF86-4493F854208C}" name="SandBHQP" displayName="SandBHQP" ref="C20:K37" totalsRowShown="0" headerRowDxfId="184" dataDxfId="182" headerRowBorderDxfId="183" tableBorderDxfId="181">
  <autoFilter ref="C20:K37" xr:uid="{4F52731A-8271-C34B-AF86-4493F854208C}"/>
  <tableColumns count="9">
    <tableColumn id="1" xr3:uid="{488441F6-8D3C-3B42-BBCC-4594C60FD4AB}" name="First Name" dataDxfId="180"/>
    <tableColumn id="2" xr3:uid="{85AF290F-4A2B-3445-90AD-65D3A399F897}" name="Last Name" dataDxfId="179"/>
    <tableColumn id="3" xr3:uid="{36D00810-37A0-F845-8BF1-404611F51A3B}" name="HQP Status" dataDxfId="178"/>
    <tableColumn id="4" xr3:uid="{595FDDC4-3872-1F4C-8164-8B39DDDE98E8}" name="Salary &amp; Benefits" dataDxfId="177"/>
    <tableColumn id="5" xr3:uid="{DA954380-0A66-7348-AFC4-67486DF2F559}" name="Primary _x000a_Project" dataDxfId="176"/>
    <tableColumn id="6" xr3:uid="{C6E39295-872E-F241-8A93-E81C16F8D439}" name="FTE %" dataDxfId="175"/>
    <tableColumn id="7" xr3:uid="{E9FE82E0-0487-A44F-951A-58EF001EE549}" name="Secondary _x000a_Project " dataDxfId="174"/>
    <tableColumn id="8" xr3:uid="{352EA06C-1199-CD48-9AF5-EDBC10D392CB}" name="FTE %2" dataDxfId="173">
      <calculatedColumnFormula>IF(SandBHQP[[#This Row],[FTE %]]&gt;0,100-SandBHQP[[#This Row],[FTE %]],"")</calculatedColumnFormula>
    </tableColumn>
    <tableColumn id="9" xr3:uid="{B272F3B6-B216-D44A-9BF7-A6EDAA776C54}" name="Other" dataDxfId="17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8F5EF058-128E-CD47-B874-9A914445CD52}" name="SandBIPDC" displayName="SandBIPDC" ref="C57:F66" totalsRowShown="0" headerRowDxfId="171" dataDxfId="169" headerRowBorderDxfId="170" tableBorderDxfId="168">
  <autoFilter ref="C57:F66" xr:uid="{8F5EF058-128E-CD47-B874-9A914445CD52}"/>
  <tableColumns count="4">
    <tableColumn id="1" xr3:uid="{385E1BF8-C0D8-0442-924C-199249270B2E}" name="First Name" dataDxfId="167"/>
    <tableColumn id="2" xr3:uid="{F77D4673-E73B-1942-BCFE-7CFFE3940A55}" name="Last Name" dataDxfId="166"/>
    <tableColumn id="3" xr3:uid="{0AF204E0-29B7-0640-9B87-478681ED54D9}" name="Role" dataDxfId="165"/>
    <tableColumn id="4" xr3:uid="{5F60E21B-73ED-B547-85CA-09F06ACC0508}" name="Salary &amp; Benefits" dataDxfId="164"/>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21886718-7FAF-D14D-8C54-C42B24815209}" name="SandBTech" displayName="SandBTech" ref="C41:K54" totalsRowShown="0" headerRowDxfId="163" dataDxfId="162" tableBorderDxfId="161">
  <autoFilter ref="C41:K54" xr:uid="{21886718-7FAF-D14D-8C54-C42B24815209}"/>
  <tableColumns count="9">
    <tableColumn id="1" xr3:uid="{1A71D243-62C1-B947-9CE3-7FA1B0FB58A2}" name="First Name" dataDxfId="160"/>
    <tableColumn id="2" xr3:uid="{4F00A991-6344-A847-824C-9AA6496702DC}" name="Last Name" dataDxfId="159"/>
    <tableColumn id="3" xr3:uid="{CF0D0E73-CCB8-6544-BEA7-FDA72052EC13}" name="Role" dataDxfId="158"/>
    <tableColumn id="4" xr3:uid="{DEC5CBCE-8D61-6049-B184-6C1BDE0A7FBB}" name="Salary &amp; Benefits" dataDxfId="157"/>
    <tableColumn id="5" xr3:uid="{04F92707-742B-C64B-9EA9-3F535D111C56}" name="Primary _x000a_Project" dataDxfId="156"/>
    <tableColumn id="6" xr3:uid="{84CA38B0-0F20-034F-8A38-4EF604F729FF}" name="FTE %" dataDxfId="155"/>
    <tableColumn id="7" xr3:uid="{BA9B10D7-3E47-0C49-9160-8B65DC54DFC9}" name="Secondary _x000a_Project " dataDxfId="154"/>
    <tableColumn id="8" xr3:uid="{CA8ECE87-A89F-E240-84B0-CE1D0E0E66EA}" name="FTE %2" dataDxfId="153">
      <calculatedColumnFormula>IF(SandBTech[[#This Row],[FTE %]]&gt;0,100-SandBTech[[#This Row],[FTE %]],"")</calculatedColumnFormula>
    </tableColumn>
    <tableColumn id="9" xr3:uid="{32F75054-6671-4B4C-B1A4-A021E43D042E}" name="Other" dataDxfId="152"/>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4870D54-F0CE-4B4F-9FFB-66563BBA442B}" name="SandBHQP4" displayName="SandBHQP4" ref="C20:K37" totalsRowShown="0" headerRowDxfId="151" dataDxfId="149" headerRowBorderDxfId="150" tableBorderDxfId="148">
  <autoFilter ref="C20:K37" xr:uid="{14870D54-F0CE-4B4F-9FFB-66563BBA442B}"/>
  <tableColumns count="9">
    <tableColumn id="1" xr3:uid="{46F3F061-5D74-6E4E-92AD-386DAB7A47B7}" name="First Name" dataDxfId="147"/>
    <tableColumn id="2" xr3:uid="{6B715506-1B49-9B46-99FF-003004CBC800}" name="Last Name" dataDxfId="146"/>
    <tableColumn id="3" xr3:uid="{CB88C022-19BC-624F-A319-8C870CCAAB51}" name="HQP Status" dataDxfId="145"/>
    <tableColumn id="4" xr3:uid="{0E52DE45-48BA-1E40-96D7-10F9506FB5BB}" name="Salary &amp; Benefits" dataDxfId="144"/>
    <tableColumn id="5" xr3:uid="{73700904-0E7A-F745-8B05-F67F5886FBD7}" name="Primary _x000a_Project" dataDxfId="143"/>
    <tableColumn id="6" xr3:uid="{D92F5A25-9B1B-4648-8A6E-76FF97CEB73D}" name="FTE %" dataDxfId="142"/>
    <tableColumn id="7" xr3:uid="{AF1B27D0-6AD0-144F-92F1-F8FE4A4A2950}" name="Secondary _x000a_Project " dataDxfId="141"/>
    <tableColumn id="8" xr3:uid="{D2FAF352-18F5-0449-978E-FA499C448DFF}" name="FTE %2" dataDxfId="140">
      <calculatedColumnFormula>IF(SandBHQP4[[#This Row],[FTE %]]&gt;0,100-SandBHQP4[[#This Row],[FTE %]],"")</calculatedColumnFormula>
    </tableColumn>
    <tableColumn id="9" xr3:uid="{E58DA161-61E0-DE47-837F-BD9C3D08FC95}" name="Other" dataDxfId="139"/>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19CDECC-15CD-0F4F-93D9-B34B85C291D7}" name="SandBIPDC5" displayName="SandBIPDC5" ref="C57:F66" totalsRowShown="0" headerRowDxfId="138" dataDxfId="136" headerRowBorderDxfId="137" tableBorderDxfId="135">
  <autoFilter ref="C57:F66" xr:uid="{419CDECC-15CD-0F4F-93D9-B34B85C291D7}"/>
  <tableColumns count="4">
    <tableColumn id="1" xr3:uid="{4F899D20-D846-DA4B-9124-0626EBC47737}" name="First Name" dataDxfId="134"/>
    <tableColumn id="2" xr3:uid="{99D173B7-894C-AD48-AD00-72399E4FDEC4}" name="Last Name" dataDxfId="133"/>
    <tableColumn id="3" xr3:uid="{27D894EA-C7CE-9742-B632-C2EF8E7FA9C0}" name="Role" dataDxfId="132"/>
    <tableColumn id="4" xr3:uid="{0881885C-9C76-EF4F-92A3-95C75FC58097}" name="Salary &amp; Benefits" dataDxfId="13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E89A423-0453-5044-B845-A46E9C06ED40}" name="SandBTech6" displayName="SandBTech6" ref="C41:K54" totalsRowShown="0" headerRowDxfId="130" dataDxfId="129" tableBorderDxfId="128">
  <autoFilter ref="C41:K54" xr:uid="{AE89A423-0453-5044-B845-A46E9C06ED40}"/>
  <tableColumns count="9">
    <tableColumn id="1" xr3:uid="{231612AD-A71E-E34C-8C05-69659AD16955}" name="First Name" dataDxfId="127"/>
    <tableColumn id="2" xr3:uid="{1281CF0B-D42F-354C-9157-DC6D94589014}" name="Last Name" dataDxfId="126"/>
    <tableColumn id="3" xr3:uid="{1F79AA17-0F37-E94A-8ECD-B26F493B2A55}" name="Role" dataDxfId="125"/>
    <tableColumn id="4" xr3:uid="{86C961E6-FA3D-2442-92A6-1C4D7671BBF1}" name="Salary &amp; Benefits" dataDxfId="124"/>
    <tableColumn id="5" xr3:uid="{9E6DE746-E06E-5842-AED3-331EE1FDFB21}" name="Primary _x000a_Project" dataDxfId="123"/>
    <tableColumn id="6" xr3:uid="{73260BC1-1EB5-9D44-B6DD-36911476B8F8}" name="FTE %" dataDxfId="122"/>
    <tableColumn id="7" xr3:uid="{9585A8B9-0570-2745-AF0A-C14B20D9EC15}" name="Secondary _x000a_Project " dataDxfId="121"/>
    <tableColumn id="8" xr3:uid="{06A4729B-BC40-6549-B1EF-133C832ED30C}" name="FTE %2" dataDxfId="120">
      <calculatedColumnFormula>IF(SandBTech6[[#This Row],[FTE %]]&gt;0,100-SandBTech6[[#This Row],[FTE %]],"")</calculatedColumnFormula>
    </tableColumn>
    <tableColumn id="9" xr3:uid="{9FC5FFD9-59D5-1A4A-A47B-306A3D7F01EE}" name="Other" dataDxfId="11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74164BE-EA39-476D-8760-AB066D753BBD}" name="StudentRole" displayName="StudentRole" ref="D6:D14" totalsRowShown="0" headerRowDxfId="199">
  <autoFilter ref="D6:D14" xr:uid="{474164BE-EA39-476D-8760-AB066D753BBD}"/>
  <tableColumns count="1">
    <tableColumn id="1" xr3:uid="{522D24A8-C316-495F-A87E-65C2E519B01A}" name="StudentRole"/>
  </tableColumns>
  <tableStyleInfo name="TableStyleMedium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FD25F7D-A204-4D41-93C9-664A26A679B7}" name="NonStudentRole" displayName="NonStudentRole" ref="D17:D23" totalsRowShown="0" headerRowDxfId="198">
  <autoFilter ref="D17:D23" xr:uid="{0FD25F7D-A204-4D41-93C9-664A26A679B7}"/>
  <tableColumns count="1">
    <tableColumn id="1" xr3:uid="{04E57809-CF45-4AC8-BA23-58876A09038C}" name="NonStudentRole"/>
  </tableColumns>
  <tableStyleInfo name="TableStyleMedium2"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14D53548-446A-4D32-BC39-6380001C998C}" name="InstituteTable" displayName="InstituteTable" ref="F6:G31" totalsRowShown="0" headerRowDxfId="197" dataDxfId="196" tableBorderDxfId="195">
  <autoFilter ref="F6:G31" xr:uid="{14D53548-446A-4D32-BC39-6380001C998C}"/>
  <tableColumns count="2">
    <tableColumn id="1" xr3:uid="{BD9120EF-B001-413D-A76F-4F96CE2BF009}" name="First Index" dataDxfId="194"/>
    <tableColumn id="2" xr3:uid="{E4F3A279-30F8-4894-9D86-4767E224B7DA}" name="Institute" dataDxfId="193"/>
  </tableColumns>
  <tableStyleInfo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90850E07-192B-40C5-AEBC-022AF5F03E91}" name="ProjectTable" displayName="ProjectTable" ref="I6:J45" totalsRowShown="0" headerRowDxfId="192">
  <autoFilter ref="I6:J45" xr:uid="{90850E07-192B-40C5-AEBC-022AF5F03E91}"/>
  <tableColumns count="2">
    <tableColumn id="1" xr3:uid="{CBA11635-C7EA-49F1-96B2-EC8DA06F51B8}" name="Second Index" dataDxfId="191"/>
    <tableColumn id="2" xr3:uid="{AA2DD36E-50DE-469C-9194-6248451FD40E}" name="Project" dataDxfId="190"/>
  </tableColumns>
  <tableStyleInfo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4135E94D-7B3F-457A-8A64-A18CBEA15EE1}" name="NonSalary" displayName="NonSalary" ref="D33:D48" totalsRowShown="0" headerRowDxfId="189">
  <autoFilter ref="D33:D48" xr:uid="{4135E94D-7B3F-457A-8A64-A18CBEA15EE1}"/>
  <tableColumns count="1">
    <tableColumn id="1" xr3:uid="{5BBDFE67-D54C-4C25-ABE9-42154474BC6F}" name="NonSalary Items"/>
  </tableColumns>
  <tableStyleInfo name="TableStyleLight9"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944F8E10-512A-4D68-82A1-F01811E7519E}" name="ICR" displayName="ICR" ref="D52:D57" totalsRowShown="0" headerRowDxfId="188">
  <autoFilter ref="D52:D57" xr:uid="{944F8E10-512A-4D68-82A1-F01811E7519E}"/>
  <tableColumns count="1">
    <tableColumn id="1" xr3:uid="{CF43CB6E-F34F-49CD-8101-2AAC4A3A1691}" name="Indirect Cost Items"/>
  </tableColumns>
  <tableStyleInfo name="TableStyleLight9"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292DDCC7-AFEF-4232-AE6F-8A41C1D166C5}" name="TAccnt" displayName="TAccnt" ref="N7:Q46" totalsRowShown="0" headerRowDxfId="187">
  <autoFilter ref="N7:Q46" xr:uid="{292DDCC7-AFEF-4232-AE6F-8A41C1D166C5}">
    <filterColumn colId="0" hiddenButton="1"/>
    <filterColumn colId="1" hiddenButton="1"/>
    <filterColumn colId="2" hiddenButton="1"/>
    <filterColumn colId="3" hiddenButton="1"/>
  </autoFilter>
  <tableColumns count="4">
    <tableColumn id="1" xr3:uid="{4A79EF5F-6E9C-4360-907E-4689A1C96F3D}" name="Item">
      <calculatedColumnFormula>D24</calculatedColumnFormula>
    </tableColumn>
    <tableColumn id="2" xr3:uid="{4A2D848C-F6C4-44C2-B271-46C6E3AA1F93}" name="Account Code" dataDxfId="186"/>
    <tableColumn id="3" xr3:uid="{B04C0222-F0F1-41F1-9EF9-0B4F4B327A44}" name="Account Code Description"/>
    <tableColumn id="4" xr3:uid="{D472E43A-5C99-EE4D-8177-FE084DD43D3C}" name="AUX Program Code"/>
  </tableColumns>
  <tableStyleInfo name="TableStyleLight9"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9DCC6C8B-A9F7-41EA-8F42-EC5C470431A4}" name="IPDCRole" displayName="IPDCRole" ref="D25:D31" totalsRowShown="0" headerRowDxfId="185">
  <autoFilter ref="D25:D31" xr:uid="{9DCC6C8B-A9F7-41EA-8F42-EC5C470431A4}"/>
  <tableColumns count="1">
    <tableColumn id="1" xr3:uid="{C3ADE168-1788-4ECA-89F7-9E37C146E0BD}" name="NonStudentRole_IPDC"/>
  </tableColumns>
  <tableStyleInfo name="TableStyleMedium2"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table" Target="../tables/table9.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openxmlformats.org/officeDocument/2006/relationships/table" Target="../tables/table12.xml"/><Relationship Id="rId2" Type="http://schemas.openxmlformats.org/officeDocument/2006/relationships/hyperlink" Target="https://www.rsf-fsr.gc.ca/administer-administrer/expenditures-depenses-eng.aspx" TargetMode="External"/><Relationship Id="rId1" Type="http://schemas.openxmlformats.org/officeDocument/2006/relationships/hyperlink" Target="mailto:finance@mcdonaldinstitute.ca" TargetMode="External"/><Relationship Id="rId6" Type="http://schemas.openxmlformats.org/officeDocument/2006/relationships/table" Target="../tables/table11.xml"/><Relationship Id="rId5" Type="http://schemas.openxmlformats.org/officeDocument/2006/relationships/table" Target="../tables/table10.x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rsf-fsr.gc.ca/administer-administrer/expenditures-depenses-eng.aspx"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mailto:finance@mcdonaldinstitute.ca"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5.bin"/><Relationship Id="rId7" Type="http://schemas.openxmlformats.org/officeDocument/2006/relationships/table" Target="../tables/table15.xml"/><Relationship Id="rId2" Type="http://schemas.openxmlformats.org/officeDocument/2006/relationships/hyperlink" Target="https://www.rsf-fsr.gc.ca/administer-administrer/expenditures-depenses-eng.aspx" TargetMode="External"/><Relationship Id="rId1" Type="http://schemas.openxmlformats.org/officeDocument/2006/relationships/hyperlink" Target="mailto:finance@mcdonaldinstitute.ca" TargetMode="External"/><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EF067-ECDF-4546-962E-0595A170FE6B}">
  <sheetPr codeName="Sheet1"/>
  <dimension ref="B3:AG57"/>
  <sheetViews>
    <sheetView workbookViewId="0">
      <selection activeCell="F32" sqref="F32"/>
    </sheetView>
  </sheetViews>
  <sheetFormatPr baseColWidth="10" defaultColWidth="8.83203125" defaultRowHeight="14" x14ac:dyDescent="0.15"/>
  <cols>
    <col min="2" max="2" width="20.5" customWidth="1"/>
    <col min="3" max="3" width="8.83203125" customWidth="1"/>
    <col min="4" max="4" width="50.6640625" customWidth="1"/>
    <col min="5" max="5" width="20.5" customWidth="1"/>
    <col min="6" max="6" width="14.6640625" customWidth="1"/>
    <col min="7" max="7" width="45.1640625" customWidth="1"/>
    <col min="8" max="8" width="7.5" customWidth="1"/>
    <col min="9" max="9" width="14" customWidth="1"/>
    <col min="10" max="10" width="19.6640625" customWidth="1"/>
    <col min="14" max="14" width="49.33203125" customWidth="1"/>
    <col min="15" max="15" width="14.6640625" style="1" customWidth="1"/>
    <col min="16" max="16" width="25.1640625" customWidth="1"/>
    <col min="17" max="17" width="18.83203125" customWidth="1"/>
    <col min="22" max="33" width="11.5" customWidth="1"/>
  </cols>
  <sheetData>
    <row r="3" spans="2:17" x14ac:dyDescent="0.15">
      <c r="B3" t="s">
        <v>0</v>
      </c>
    </row>
    <row r="5" spans="2:17" x14ac:dyDescent="0.15">
      <c r="M5" t="s">
        <v>1</v>
      </c>
    </row>
    <row r="6" spans="2:17" ht="15" x14ac:dyDescent="0.2">
      <c r="B6" s="4" t="s">
        <v>2</v>
      </c>
      <c r="D6" s="4" t="s">
        <v>3</v>
      </c>
      <c r="F6" s="75" t="s">
        <v>4</v>
      </c>
      <c r="G6" s="75" t="s">
        <v>5</v>
      </c>
      <c r="I6" s="75" t="s">
        <v>6</v>
      </c>
      <c r="J6" s="75" t="s">
        <v>7</v>
      </c>
    </row>
    <row r="7" spans="2:17" x14ac:dyDescent="0.15">
      <c r="B7" t="s">
        <v>8</v>
      </c>
      <c r="D7" t="s">
        <v>9</v>
      </c>
      <c r="F7" s="76">
        <v>10</v>
      </c>
      <c r="G7" s="78" t="s">
        <v>10</v>
      </c>
      <c r="I7" s="1">
        <v>50</v>
      </c>
      <c r="J7" t="s">
        <v>11</v>
      </c>
      <c r="N7" s="74" t="s">
        <v>12</v>
      </c>
      <c r="O7" s="74" t="s">
        <v>13</v>
      </c>
      <c r="P7" s="74" t="s">
        <v>14</v>
      </c>
      <c r="Q7" s="74" t="s">
        <v>15</v>
      </c>
    </row>
    <row r="8" spans="2:17" x14ac:dyDescent="0.15">
      <c r="B8" t="s">
        <v>124</v>
      </c>
      <c r="D8" t="s">
        <v>17</v>
      </c>
      <c r="F8" s="1">
        <v>11</v>
      </c>
      <c r="G8" t="s">
        <v>18</v>
      </c>
      <c r="I8" s="1">
        <v>51</v>
      </c>
      <c r="J8" t="s">
        <v>19</v>
      </c>
      <c r="N8" t="str">
        <f>D7</f>
        <v>Canadian Undergrad</v>
      </c>
      <c r="O8" s="1">
        <v>505001</v>
      </c>
      <c r="P8" t="s">
        <v>20</v>
      </c>
    </row>
    <row r="9" spans="2:17" x14ac:dyDescent="0.15">
      <c r="B9" t="s">
        <v>16</v>
      </c>
      <c r="D9" t="s">
        <v>22</v>
      </c>
      <c r="F9" s="1">
        <v>12</v>
      </c>
      <c r="G9" t="s">
        <v>23</v>
      </c>
      <c r="I9" s="1">
        <v>52</v>
      </c>
      <c r="J9" t="s">
        <v>24</v>
      </c>
      <c r="N9" t="str">
        <f t="shared" ref="N9:N15" si="0">D8</f>
        <v>Canadian Masters</v>
      </c>
      <c r="O9" s="1">
        <v>505101</v>
      </c>
      <c r="P9" t="s">
        <v>25</v>
      </c>
    </row>
    <row r="10" spans="2:17" x14ac:dyDescent="0.15">
      <c r="B10" t="s">
        <v>21</v>
      </c>
      <c r="D10" t="s">
        <v>27</v>
      </c>
      <c r="F10" s="1">
        <v>13</v>
      </c>
      <c r="G10" t="s">
        <v>28</v>
      </c>
      <c r="I10" s="1">
        <v>53</v>
      </c>
      <c r="J10" t="s">
        <v>29</v>
      </c>
      <c r="N10" t="str">
        <f t="shared" si="0"/>
        <v>Canadian PhD</v>
      </c>
      <c r="O10" s="1">
        <v>505201</v>
      </c>
      <c r="P10" t="s">
        <v>30</v>
      </c>
    </row>
    <row r="11" spans="2:17" x14ac:dyDescent="0.15">
      <c r="B11" t="s">
        <v>26</v>
      </c>
      <c r="D11" t="s">
        <v>32</v>
      </c>
      <c r="F11" s="1">
        <v>14</v>
      </c>
      <c r="G11" t="s">
        <v>33</v>
      </c>
      <c r="I11" s="1">
        <v>54</v>
      </c>
      <c r="J11" t="s">
        <v>34</v>
      </c>
      <c r="N11" t="str">
        <f t="shared" si="0"/>
        <v>Canadian Postdoc</v>
      </c>
      <c r="O11" s="1">
        <v>502301</v>
      </c>
      <c r="P11" s="79" t="s">
        <v>35</v>
      </c>
    </row>
    <row r="12" spans="2:17" x14ac:dyDescent="0.15">
      <c r="B12" t="s">
        <v>31</v>
      </c>
      <c r="D12" t="s">
        <v>37</v>
      </c>
      <c r="F12" s="1">
        <v>15</v>
      </c>
      <c r="G12" t="s">
        <v>38</v>
      </c>
      <c r="I12" s="1">
        <v>55</v>
      </c>
      <c r="J12" t="s">
        <v>21</v>
      </c>
      <c r="N12" t="str">
        <f t="shared" si="0"/>
        <v>Foreign Undergrad</v>
      </c>
      <c r="O12" s="1">
        <v>505002</v>
      </c>
      <c r="P12" t="s">
        <v>39</v>
      </c>
    </row>
    <row r="13" spans="2:17" x14ac:dyDescent="0.15">
      <c r="B13" t="s">
        <v>328</v>
      </c>
      <c r="D13" t="s">
        <v>41</v>
      </c>
      <c r="F13" s="1">
        <v>16</v>
      </c>
      <c r="G13" t="s">
        <v>42</v>
      </c>
      <c r="I13" s="1">
        <v>56</v>
      </c>
      <c r="J13" t="s">
        <v>26</v>
      </c>
      <c r="N13" t="str">
        <f t="shared" si="0"/>
        <v>Foreign Masters</v>
      </c>
      <c r="O13" s="1">
        <v>505102</v>
      </c>
      <c r="P13" t="s">
        <v>43</v>
      </c>
    </row>
    <row r="14" spans="2:17" x14ac:dyDescent="0.15">
      <c r="B14" t="s">
        <v>36</v>
      </c>
      <c r="D14" t="s">
        <v>45</v>
      </c>
      <c r="F14" s="1">
        <v>17</v>
      </c>
      <c r="G14" t="s">
        <v>46</v>
      </c>
      <c r="I14" s="1">
        <v>57</v>
      </c>
      <c r="J14" t="s">
        <v>47</v>
      </c>
      <c r="N14" t="str">
        <f t="shared" si="0"/>
        <v>Foreign PhD Student</v>
      </c>
      <c r="O14" s="1">
        <v>505202</v>
      </c>
      <c r="P14" t="s">
        <v>48</v>
      </c>
    </row>
    <row r="15" spans="2:17" x14ac:dyDescent="0.15">
      <c r="B15" t="s">
        <v>40</v>
      </c>
      <c r="F15" s="1">
        <v>18</v>
      </c>
      <c r="G15" t="s">
        <v>50</v>
      </c>
      <c r="I15" s="1">
        <v>58</v>
      </c>
      <c r="J15" t="s">
        <v>36</v>
      </c>
      <c r="N15" t="str">
        <f t="shared" si="0"/>
        <v>Foreign Postdoc</v>
      </c>
      <c r="O15" s="1">
        <v>502302</v>
      </c>
      <c r="P15" s="79" t="s">
        <v>51</v>
      </c>
    </row>
    <row r="16" spans="2:17" x14ac:dyDescent="0.15">
      <c r="B16" t="s">
        <v>44</v>
      </c>
      <c r="F16" s="1">
        <v>19</v>
      </c>
      <c r="G16" t="s">
        <v>53</v>
      </c>
      <c r="I16" s="1">
        <v>59</v>
      </c>
      <c r="J16" t="s">
        <v>40</v>
      </c>
      <c r="N16" t="str">
        <f>D21</f>
        <v>Research Scientist</v>
      </c>
      <c r="O16" s="1">
        <v>502303</v>
      </c>
      <c r="P16" s="79" t="s">
        <v>54</v>
      </c>
    </row>
    <row r="17" spans="2:33" x14ac:dyDescent="0.15">
      <c r="B17" t="s">
        <v>49</v>
      </c>
      <c r="D17" s="4" t="s">
        <v>56</v>
      </c>
      <c r="F17" s="1">
        <v>20</v>
      </c>
      <c r="G17" t="s">
        <v>57</v>
      </c>
      <c r="I17" s="1">
        <v>60</v>
      </c>
      <c r="J17" t="s">
        <v>44</v>
      </c>
      <c r="N17" t="str">
        <f>D18</f>
        <v>Engineering or Design</v>
      </c>
      <c r="O17" s="1">
        <v>503001</v>
      </c>
      <c r="P17" t="s">
        <v>58</v>
      </c>
    </row>
    <row r="18" spans="2:33" x14ac:dyDescent="0.15">
      <c r="B18" t="s">
        <v>52</v>
      </c>
      <c r="D18" t="s">
        <v>60</v>
      </c>
      <c r="F18" s="1">
        <v>21</v>
      </c>
      <c r="G18" t="s">
        <v>61</v>
      </c>
      <c r="I18" s="1">
        <v>61</v>
      </c>
      <c r="J18" t="s">
        <v>49</v>
      </c>
      <c r="N18" t="str">
        <f t="shared" ref="N18:N19" si="1">D19</f>
        <v>Technical Staff</v>
      </c>
      <c r="O18" s="1">
        <v>503001</v>
      </c>
      <c r="P18" t="s">
        <v>58</v>
      </c>
    </row>
    <row r="19" spans="2:33" x14ac:dyDescent="0.15">
      <c r="B19" t="s">
        <v>55</v>
      </c>
      <c r="D19" t="s">
        <v>63</v>
      </c>
      <c r="F19" s="1">
        <v>22</v>
      </c>
      <c r="G19" t="s">
        <v>64</v>
      </c>
      <c r="I19" s="1">
        <v>62</v>
      </c>
      <c r="J19" t="s">
        <v>52</v>
      </c>
      <c r="N19" t="str">
        <f t="shared" si="1"/>
        <v>Project Manager</v>
      </c>
      <c r="O19" s="1">
        <v>503001</v>
      </c>
      <c r="P19" t="s">
        <v>58</v>
      </c>
    </row>
    <row r="20" spans="2:33" x14ac:dyDescent="0.15">
      <c r="B20" t="s">
        <v>59</v>
      </c>
      <c r="D20" t="s">
        <v>66</v>
      </c>
      <c r="F20" s="1">
        <v>23</v>
      </c>
      <c r="G20" t="s">
        <v>67</v>
      </c>
      <c r="I20" s="1">
        <v>63</v>
      </c>
      <c r="J20" t="s">
        <v>55</v>
      </c>
      <c r="N20" t="str">
        <f>D22</f>
        <v>Administrative</v>
      </c>
      <c r="O20" s="1">
        <v>503001</v>
      </c>
      <c r="P20" t="s">
        <v>68</v>
      </c>
    </row>
    <row r="21" spans="2:33" x14ac:dyDescent="0.15">
      <c r="B21" t="s">
        <v>62</v>
      </c>
      <c r="D21" s="73" t="s">
        <v>70</v>
      </c>
      <c r="F21" s="1">
        <v>24</v>
      </c>
      <c r="G21" t="s">
        <v>71</v>
      </c>
      <c r="I21" s="1">
        <v>64</v>
      </c>
      <c r="J21" t="s">
        <v>59</v>
      </c>
      <c r="N21" t="str">
        <f>D23</f>
        <v>Other</v>
      </c>
      <c r="O21" s="1" t="s">
        <v>72</v>
      </c>
      <c r="P21" t="s">
        <v>73</v>
      </c>
    </row>
    <row r="22" spans="2:33" x14ac:dyDescent="0.15">
      <c r="B22" t="s">
        <v>65</v>
      </c>
      <c r="D22" t="s">
        <v>8</v>
      </c>
      <c r="F22" s="1">
        <v>25</v>
      </c>
      <c r="G22" t="s">
        <v>75</v>
      </c>
      <c r="I22" s="1">
        <v>65</v>
      </c>
      <c r="J22" t="s">
        <v>62</v>
      </c>
      <c r="N22" t="str">
        <f>D29</f>
        <v>IPDC Research Scientist</v>
      </c>
      <c r="O22" s="1">
        <v>502303</v>
      </c>
      <c r="P22" s="79" t="s">
        <v>54</v>
      </c>
    </row>
    <row r="23" spans="2:33" x14ac:dyDescent="0.15">
      <c r="B23" t="s">
        <v>69</v>
      </c>
      <c r="D23" t="s">
        <v>77</v>
      </c>
      <c r="F23" s="1">
        <v>26</v>
      </c>
      <c r="G23" t="s">
        <v>78</v>
      </c>
      <c r="I23" s="1">
        <v>66</v>
      </c>
      <c r="J23" t="s">
        <v>65</v>
      </c>
      <c r="N23" t="str">
        <f>D26</f>
        <v>IPDC Engineering and Design</v>
      </c>
      <c r="O23" s="1">
        <v>503001</v>
      </c>
      <c r="P23" t="s">
        <v>58</v>
      </c>
    </row>
    <row r="24" spans="2:33" x14ac:dyDescent="0.15">
      <c r="B24" t="s">
        <v>74</v>
      </c>
      <c r="F24" s="1">
        <v>27</v>
      </c>
      <c r="G24" t="s">
        <v>80</v>
      </c>
      <c r="I24" s="1">
        <v>67</v>
      </c>
      <c r="J24" t="s">
        <v>69</v>
      </c>
      <c r="N24" t="str">
        <f t="shared" ref="N24:N25" si="2">D27</f>
        <v>IPDC Technical Staff</v>
      </c>
      <c r="O24" s="1">
        <v>503001</v>
      </c>
      <c r="P24" t="s">
        <v>58</v>
      </c>
    </row>
    <row r="25" spans="2:33" x14ac:dyDescent="0.15">
      <c r="B25" t="s">
        <v>76</v>
      </c>
      <c r="D25" s="4" t="s">
        <v>82</v>
      </c>
      <c r="F25" s="1">
        <v>28</v>
      </c>
      <c r="G25" t="s">
        <v>83</v>
      </c>
      <c r="I25" s="1">
        <v>68</v>
      </c>
      <c r="J25" t="s">
        <v>74</v>
      </c>
      <c r="N25" t="str">
        <f t="shared" si="2"/>
        <v>IPDC Project Manager</v>
      </c>
      <c r="O25" s="1">
        <v>503001</v>
      </c>
      <c r="P25" t="s">
        <v>58</v>
      </c>
    </row>
    <row r="26" spans="2:33" x14ac:dyDescent="0.15">
      <c r="B26" t="s">
        <v>79</v>
      </c>
      <c r="D26" t="s">
        <v>11</v>
      </c>
      <c r="F26" s="1">
        <v>29</v>
      </c>
      <c r="G26" t="s">
        <v>85</v>
      </c>
      <c r="I26" s="1">
        <v>69</v>
      </c>
      <c r="J26" t="s">
        <v>76</v>
      </c>
      <c r="N26" t="str">
        <f>D30</f>
        <v>IPDC Admin</v>
      </c>
      <c r="O26" s="1">
        <v>503201</v>
      </c>
      <c r="P26" t="s">
        <v>68</v>
      </c>
    </row>
    <row r="27" spans="2:33" x14ac:dyDescent="0.15">
      <c r="B27" t="s">
        <v>81</v>
      </c>
      <c r="D27" t="s">
        <v>19</v>
      </c>
      <c r="F27" s="1">
        <v>30</v>
      </c>
      <c r="G27" t="s">
        <v>87</v>
      </c>
      <c r="I27" s="1">
        <v>70</v>
      </c>
      <c r="J27" t="s">
        <v>79</v>
      </c>
      <c r="N27" t="str">
        <f>D34</f>
        <v>Professional &amp; technical services/contracts</v>
      </c>
      <c r="O27" s="1">
        <v>625001</v>
      </c>
      <c r="P27" t="s">
        <v>88</v>
      </c>
      <c r="S27" s="1"/>
      <c r="V27" s="133"/>
      <c r="W27" s="133"/>
      <c r="X27" s="133"/>
      <c r="Y27" s="133"/>
      <c r="Z27" s="133"/>
      <c r="AA27" s="133"/>
      <c r="AB27" s="133"/>
      <c r="AC27" s="133"/>
      <c r="AD27" s="133"/>
      <c r="AE27" s="133"/>
      <c r="AF27" s="133"/>
      <c r="AG27" s="133"/>
    </row>
    <row r="28" spans="2:33" x14ac:dyDescent="0.15">
      <c r="B28" t="s">
        <v>84</v>
      </c>
      <c r="D28" t="s">
        <v>24</v>
      </c>
      <c r="F28" s="1">
        <v>31</v>
      </c>
      <c r="G28" t="s">
        <v>91</v>
      </c>
      <c r="I28" s="1">
        <v>71</v>
      </c>
      <c r="J28" t="s">
        <v>81</v>
      </c>
      <c r="N28" t="str">
        <f t="shared" ref="N28:N41" si="3">D35</f>
        <v>Equipment - Purchase</v>
      </c>
      <c r="O28" s="1">
        <v>612004</v>
      </c>
      <c r="P28" t="s">
        <v>92</v>
      </c>
      <c r="S28" s="1"/>
      <c r="V28" s="133"/>
      <c r="W28" s="133"/>
      <c r="X28" s="133"/>
      <c r="Y28" s="133"/>
      <c r="Z28" s="133"/>
      <c r="AA28" s="133"/>
      <c r="AB28" s="133"/>
      <c r="AC28" s="133"/>
      <c r="AD28" s="133"/>
      <c r="AE28" s="133"/>
      <c r="AF28" s="133"/>
      <c r="AG28" s="133"/>
    </row>
    <row r="29" spans="2:33" x14ac:dyDescent="0.15">
      <c r="B29" t="s">
        <v>86</v>
      </c>
      <c r="D29" t="s">
        <v>29</v>
      </c>
      <c r="F29" s="1">
        <v>32</v>
      </c>
      <c r="G29" t="s">
        <v>95</v>
      </c>
      <c r="I29" s="1">
        <v>72</v>
      </c>
      <c r="J29" t="s">
        <v>84</v>
      </c>
      <c r="N29" t="str">
        <f t="shared" si="3"/>
        <v>Equipment - Rental</v>
      </c>
      <c r="O29" s="1">
        <v>615001</v>
      </c>
      <c r="P29" t="s">
        <v>96</v>
      </c>
      <c r="S29" s="1"/>
      <c r="V29" s="133"/>
      <c r="W29" s="133"/>
      <c r="X29" s="133"/>
      <c r="Y29" s="133"/>
      <c r="Z29" s="133"/>
      <c r="AA29" s="133"/>
      <c r="AB29" s="133"/>
      <c r="AC29" s="133"/>
      <c r="AD29" s="133"/>
      <c r="AE29" s="133"/>
      <c r="AF29" s="133"/>
      <c r="AG29" s="133"/>
    </row>
    <row r="30" spans="2:33" ht="15" x14ac:dyDescent="0.2">
      <c r="B30" t="s">
        <v>90</v>
      </c>
      <c r="D30" t="s">
        <v>99</v>
      </c>
      <c r="F30" s="77">
        <v>33</v>
      </c>
      <c r="G30" t="s">
        <v>100</v>
      </c>
      <c r="I30" s="1">
        <v>73</v>
      </c>
      <c r="J30" t="s">
        <v>86</v>
      </c>
      <c r="N30" t="str">
        <f t="shared" si="3"/>
        <v>Equipment - Operations/Maintenance</v>
      </c>
      <c r="O30" s="1">
        <v>616002</v>
      </c>
      <c r="P30" t="s">
        <v>101</v>
      </c>
      <c r="S30" s="1"/>
      <c r="V30" s="133"/>
      <c r="W30" s="133"/>
      <c r="X30" s="133"/>
      <c r="Y30" s="133"/>
      <c r="Z30" s="133"/>
      <c r="AA30" s="133"/>
      <c r="AB30" s="133"/>
      <c r="AC30" s="133"/>
      <c r="AD30" s="133"/>
      <c r="AE30" s="133"/>
      <c r="AF30" s="133"/>
      <c r="AG30" s="133"/>
    </row>
    <row r="31" spans="2:33" ht="15" x14ac:dyDescent="0.2">
      <c r="B31" t="s">
        <v>94</v>
      </c>
      <c r="F31" s="77" t="s">
        <v>131</v>
      </c>
      <c r="G31" s="396" t="s">
        <v>329</v>
      </c>
      <c r="I31" s="1">
        <v>74</v>
      </c>
      <c r="J31" t="s">
        <v>90</v>
      </c>
      <c r="N31" t="str">
        <f t="shared" si="3"/>
        <v>Equipment - User fees</v>
      </c>
      <c r="O31" s="1">
        <v>612002</v>
      </c>
      <c r="P31" t="s">
        <v>104</v>
      </c>
      <c r="S31" s="1"/>
      <c r="V31" s="133"/>
      <c r="W31" s="133"/>
      <c r="X31" s="133"/>
      <c r="Y31" s="133"/>
      <c r="Z31" s="133"/>
      <c r="AA31" s="133"/>
      <c r="AB31" s="133"/>
      <c r="AC31" s="133"/>
      <c r="AD31" s="133"/>
      <c r="AE31" s="133"/>
      <c r="AF31" s="133"/>
      <c r="AG31" s="133"/>
    </row>
    <row r="32" spans="2:33" x14ac:dyDescent="0.15">
      <c r="B32" t="s">
        <v>98</v>
      </c>
      <c r="I32" s="1">
        <v>75</v>
      </c>
      <c r="J32" t="s">
        <v>94</v>
      </c>
      <c r="N32" t="str">
        <f t="shared" si="3"/>
        <v>Equipment - Other</v>
      </c>
      <c r="O32" s="1">
        <v>612005</v>
      </c>
      <c r="P32" t="s">
        <v>106</v>
      </c>
      <c r="S32" s="1"/>
      <c r="V32" s="133"/>
      <c r="W32" s="133"/>
      <c r="X32" s="133"/>
      <c r="Y32" s="133"/>
      <c r="Z32" s="133"/>
      <c r="AA32" s="133"/>
      <c r="AB32" s="133"/>
      <c r="AC32" s="133"/>
      <c r="AD32" s="133"/>
      <c r="AE32" s="133"/>
      <c r="AF32" s="133"/>
      <c r="AG32" s="133"/>
    </row>
    <row r="33" spans="2:33" x14ac:dyDescent="0.15">
      <c r="B33" t="s">
        <v>103</v>
      </c>
      <c r="D33" s="4" t="s">
        <v>108</v>
      </c>
      <c r="I33" s="1">
        <v>76</v>
      </c>
      <c r="J33" t="s">
        <v>98</v>
      </c>
      <c r="N33" t="str">
        <f t="shared" si="3"/>
        <v>Materials, supplies &amp; similar expenditures</v>
      </c>
      <c r="O33" s="1">
        <v>602007</v>
      </c>
      <c r="P33" t="s">
        <v>109</v>
      </c>
      <c r="S33" s="1"/>
      <c r="V33" s="133"/>
      <c r="W33" s="133"/>
      <c r="X33" s="133"/>
      <c r="Y33" s="133"/>
      <c r="Z33" s="133"/>
      <c r="AA33" s="133"/>
      <c r="AB33" s="133"/>
      <c r="AC33" s="133"/>
      <c r="AD33" s="133"/>
      <c r="AE33" s="133"/>
      <c r="AF33" s="133"/>
      <c r="AG33" s="133"/>
    </row>
    <row r="34" spans="2:33" x14ac:dyDescent="0.15">
      <c r="B34" t="s">
        <v>105</v>
      </c>
      <c r="D34" t="s">
        <v>110</v>
      </c>
      <c r="I34" s="1">
        <v>77</v>
      </c>
      <c r="J34" t="s">
        <v>103</v>
      </c>
      <c r="N34" t="str">
        <f t="shared" si="3"/>
        <v>Travel - relating to Proposed Research (ie, visit a vendor)</v>
      </c>
      <c r="O34" s="1">
        <v>640001</v>
      </c>
      <c r="P34" t="s">
        <v>111</v>
      </c>
      <c r="Q34">
        <v>98009</v>
      </c>
      <c r="S34" s="1"/>
      <c r="V34" s="133"/>
      <c r="W34" s="133"/>
      <c r="X34" s="133"/>
      <c r="Y34" s="133"/>
      <c r="Z34" s="133"/>
      <c r="AA34" s="133"/>
      <c r="AB34" s="133"/>
      <c r="AC34" s="133"/>
      <c r="AD34" s="133"/>
      <c r="AE34" s="133"/>
      <c r="AF34" s="133"/>
      <c r="AG34" s="133"/>
    </row>
    <row r="35" spans="2:33" x14ac:dyDescent="0.15">
      <c r="B35" t="s">
        <v>107</v>
      </c>
      <c r="D35" t="s">
        <v>112</v>
      </c>
      <c r="I35" s="1">
        <v>78</v>
      </c>
      <c r="J35" t="s">
        <v>105</v>
      </c>
      <c r="N35" t="str">
        <f t="shared" si="3"/>
        <v>Travel - Field Work</v>
      </c>
      <c r="O35" s="1">
        <v>640001</v>
      </c>
      <c r="P35" t="s">
        <v>111</v>
      </c>
      <c r="Q35">
        <v>98010</v>
      </c>
      <c r="S35" s="1"/>
      <c r="V35" s="133"/>
      <c r="W35" s="133"/>
      <c r="X35" s="133"/>
      <c r="Y35" s="133"/>
      <c r="Z35" s="133"/>
      <c r="AA35" s="133"/>
      <c r="AB35" s="133"/>
      <c r="AC35" s="133"/>
      <c r="AD35" s="133"/>
      <c r="AE35" s="133"/>
      <c r="AF35" s="133"/>
      <c r="AG35" s="133"/>
    </row>
    <row r="36" spans="2:33" x14ac:dyDescent="0.15">
      <c r="B36" t="s">
        <v>77</v>
      </c>
      <c r="D36" t="s">
        <v>113</v>
      </c>
      <c r="I36" s="1">
        <v>79</v>
      </c>
      <c r="J36" t="s">
        <v>107</v>
      </c>
      <c r="N36" t="str">
        <f t="shared" si="3"/>
        <v>Travel - Conferences</v>
      </c>
      <c r="O36" s="1">
        <v>640001</v>
      </c>
      <c r="P36" t="s">
        <v>111</v>
      </c>
      <c r="Q36">
        <v>98019</v>
      </c>
      <c r="S36" s="1"/>
      <c r="V36" s="133"/>
      <c r="W36" s="133"/>
      <c r="X36" s="133"/>
      <c r="Y36" s="133"/>
      <c r="Z36" s="133"/>
      <c r="AA36" s="133"/>
      <c r="AB36" s="133"/>
      <c r="AC36" s="133"/>
      <c r="AD36" s="133"/>
      <c r="AE36" s="133"/>
      <c r="AF36" s="133"/>
      <c r="AG36" s="133"/>
    </row>
    <row r="37" spans="2:33" x14ac:dyDescent="0.15">
      <c r="D37" t="s">
        <v>114</v>
      </c>
      <c r="I37" s="1">
        <v>80</v>
      </c>
      <c r="J37" t="s">
        <v>328</v>
      </c>
      <c r="N37" t="str">
        <f t="shared" si="3"/>
        <v>Travel - Other</v>
      </c>
      <c r="O37" s="1">
        <v>640001</v>
      </c>
      <c r="P37" t="s">
        <v>111</v>
      </c>
      <c r="Q37">
        <v>98020</v>
      </c>
      <c r="S37" s="1"/>
      <c r="V37" s="133"/>
      <c r="W37" s="133"/>
      <c r="X37" s="133"/>
      <c r="Y37" s="133"/>
      <c r="Z37" s="133"/>
      <c r="AA37" s="133"/>
      <c r="AB37" s="133"/>
      <c r="AC37" s="133"/>
      <c r="AD37" s="133"/>
      <c r="AE37" s="133"/>
      <c r="AF37" s="133"/>
      <c r="AG37" s="133"/>
    </row>
    <row r="38" spans="2:33" x14ac:dyDescent="0.15">
      <c r="D38" t="s">
        <v>115</v>
      </c>
      <c r="I38" s="1">
        <v>81</v>
      </c>
      <c r="J38" t="s">
        <v>16</v>
      </c>
      <c r="N38" t="str">
        <f t="shared" si="3"/>
        <v>KMb/KT - Publication costs</v>
      </c>
      <c r="O38" s="1">
        <v>609003</v>
      </c>
      <c r="P38" t="s">
        <v>116</v>
      </c>
      <c r="S38" s="1"/>
      <c r="V38" s="133"/>
      <c r="W38" s="133"/>
      <c r="X38" s="133"/>
      <c r="Y38" s="133"/>
      <c r="Z38" s="133"/>
      <c r="AA38" s="133"/>
      <c r="AB38" s="133"/>
      <c r="AC38" s="133"/>
      <c r="AD38" s="133"/>
      <c r="AE38" s="133"/>
      <c r="AF38" s="133"/>
      <c r="AG38" s="133"/>
    </row>
    <row r="39" spans="2:33" x14ac:dyDescent="0.15">
      <c r="D39" t="s">
        <v>117</v>
      </c>
      <c r="I39" s="1">
        <v>82</v>
      </c>
      <c r="J39" t="s">
        <v>118</v>
      </c>
      <c r="N39" t="str">
        <f t="shared" si="3"/>
        <v>KMb/KT - Outreach</v>
      </c>
      <c r="O39" s="1">
        <v>609001</v>
      </c>
      <c r="P39" t="s">
        <v>119</v>
      </c>
      <c r="S39" s="1"/>
      <c r="V39" s="133"/>
      <c r="W39" s="133"/>
      <c r="X39" s="133"/>
      <c r="Y39" s="133"/>
      <c r="Z39" s="133"/>
      <c r="AA39" s="133"/>
      <c r="AB39" s="133"/>
      <c r="AC39" s="133"/>
      <c r="AD39" s="133"/>
      <c r="AE39" s="133"/>
      <c r="AF39" s="133"/>
      <c r="AG39" s="133"/>
    </row>
    <row r="40" spans="2:33" x14ac:dyDescent="0.15">
      <c r="D40" s="162" t="s">
        <v>120</v>
      </c>
      <c r="I40" s="1">
        <v>83</v>
      </c>
      <c r="J40" t="s">
        <v>121</v>
      </c>
      <c r="N40" t="str">
        <f t="shared" si="3"/>
        <v>KMb/KT - Dissemination/Other</v>
      </c>
      <c r="O40" s="1">
        <v>609005</v>
      </c>
      <c r="P40" t="s">
        <v>122</v>
      </c>
      <c r="S40" s="1"/>
      <c r="V40" s="133"/>
      <c r="W40" s="133"/>
      <c r="X40" s="133"/>
      <c r="Y40" s="133"/>
      <c r="Z40" s="133"/>
      <c r="AA40" s="133"/>
      <c r="AB40" s="133"/>
      <c r="AC40" s="133"/>
      <c r="AD40" s="133"/>
      <c r="AE40" s="133"/>
      <c r="AF40" s="133"/>
      <c r="AG40" s="133"/>
    </row>
    <row r="41" spans="2:33" x14ac:dyDescent="0.15">
      <c r="D41" s="162" t="s">
        <v>123</v>
      </c>
      <c r="I41" s="1">
        <v>84</v>
      </c>
      <c r="J41" t="s">
        <v>124</v>
      </c>
      <c r="N41" t="str">
        <f t="shared" si="3"/>
        <v>Administrative Costs (non-salary</v>
      </c>
      <c r="O41" s="1">
        <v>600009</v>
      </c>
      <c r="P41" t="s">
        <v>125</v>
      </c>
      <c r="S41" s="1"/>
      <c r="V41" s="133"/>
      <c r="W41" s="133"/>
      <c r="X41" s="133"/>
      <c r="Y41" s="133"/>
      <c r="Z41" s="133"/>
      <c r="AA41" s="133"/>
      <c r="AB41" s="133"/>
      <c r="AC41" s="133"/>
      <c r="AD41" s="133"/>
      <c r="AE41" s="133"/>
      <c r="AF41" s="133"/>
      <c r="AG41" s="133"/>
    </row>
    <row r="42" spans="2:33" x14ac:dyDescent="0.15">
      <c r="D42" t="s">
        <v>126</v>
      </c>
      <c r="I42" s="1">
        <v>85</v>
      </c>
      <c r="J42" t="s">
        <v>77</v>
      </c>
      <c r="N42" t="str">
        <f>D53</f>
        <v>Research Facilities</v>
      </c>
      <c r="O42" s="1">
        <v>660019</v>
      </c>
      <c r="P42" t="s">
        <v>127</v>
      </c>
      <c r="S42" s="1"/>
      <c r="V42" s="133"/>
      <c r="W42" s="133"/>
      <c r="X42" s="133"/>
      <c r="Y42" s="133"/>
      <c r="Z42" s="133"/>
      <c r="AA42" s="133"/>
      <c r="AB42" s="133"/>
      <c r="AC42" s="133"/>
      <c r="AD42" s="133"/>
      <c r="AE42" s="133"/>
      <c r="AF42" s="133"/>
      <c r="AG42" s="133"/>
    </row>
    <row r="43" spans="2:33" x14ac:dyDescent="0.15">
      <c r="D43" t="s">
        <v>128</v>
      </c>
      <c r="I43" s="1">
        <v>90</v>
      </c>
      <c r="J43" t="s">
        <v>8</v>
      </c>
      <c r="N43" t="str">
        <f>D54</f>
        <v>Research Resources</v>
      </c>
      <c r="O43" s="1">
        <v>602030</v>
      </c>
      <c r="P43" t="s">
        <v>129</v>
      </c>
      <c r="S43" s="1"/>
      <c r="V43" s="133"/>
      <c r="W43" s="133"/>
      <c r="X43" s="133"/>
      <c r="Y43" s="133"/>
      <c r="Z43" s="133"/>
      <c r="AA43" s="133"/>
      <c r="AB43" s="133"/>
      <c r="AC43" s="133"/>
      <c r="AD43" s="133"/>
      <c r="AE43" s="133"/>
      <c r="AF43" s="133"/>
      <c r="AG43" s="133"/>
    </row>
    <row r="44" spans="2:33" x14ac:dyDescent="0.15">
      <c r="D44" t="s">
        <v>130</v>
      </c>
      <c r="I44" s="1" t="s">
        <v>131</v>
      </c>
      <c r="J44" t="s">
        <v>132</v>
      </c>
      <c r="N44" t="str">
        <f>D55</f>
        <v>Management and Administration</v>
      </c>
      <c r="O44" s="1">
        <v>503004</v>
      </c>
      <c r="P44" t="s">
        <v>133</v>
      </c>
      <c r="S44" s="1"/>
      <c r="V44" s="133"/>
      <c r="W44" s="133"/>
      <c r="X44" s="133"/>
      <c r="Y44" s="133"/>
      <c r="Z44" s="133"/>
      <c r="AA44" s="133"/>
      <c r="AB44" s="133"/>
      <c r="AC44" s="133"/>
      <c r="AD44" s="133"/>
      <c r="AE44" s="133"/>
      <c r="AF44" s="133"/>
      <c r="AG44" s="133"/>
    </row>
    <row r="45" spans="2:33" x14ac:dyDescent="0.15">
      <c r="D45" t="s">
        <v>134</v>
      </c>
      <c r="I45" s="1">
        <v>99</v>
      </c>
      <c r="J45" t="s">
        <v>135</v>
      </c>
      <c r="N45" t="str">
        <f>D56</f>
        <v>Regulatory Requirements and Accreditation</v>
      </c>
      <c r="O45" s="1">
        <v>623022</v>
      </c>
      <c r="P45" t="s">
        <v>136</v>
      </c>
      <c r="S45" s="1"/>
      <c r="V45" s="133"/>
      <c r="W45" s="133"/>
      <c r="X45" s="133"/>
      <c r="Y45" s="133"/>
      <c r="Z45" s="133"/>
      <c r="AA45" s="133"/>
      <c r="AB45" s="133"/>
      <c r="AC45" s="133"/>
      <c r="AD45" s="133"/>
      <c r="AE45" s="133"/>
      <c r="AF45" s="133"/>
      <c r="AG45" s="133"/>
    </row>
    <row r="46" spans="2:33" x14ac:dyDescent="0.15">
      <c r="D46" t="s">
        <v>137</v>
      </c>
      <c r="N46" t="str">
        <f>D57</f>
        <v>Intellectual Property and Knowledge Mobilization</v>
      </c>
      <c r="O46" s="1">
        <v>625011</v>
      </c>
      <c r="P46" t="s">
        <v>138</v>
      </c>
      <c r="S46" s="1"/>
      <c r="V46" s="133"/>
      <c r="W46" s="133"/>
      <c r="X46" s="133"/>
      <c r="Y46" s="133"/>
      <c r="Z46" s="133"/>
      <c r="AA46" s="133"/>
      <c r="AB46" s="133"/>
      <c r="AC46" s="133"/>
      <c r="AD46" s="133"/>
      <c r="AE46" s="133"/>
      <c r="AF46" s="133"/>
      <c r="AG46" s="133"/>
    </row>
    <row r="47" spans="2:33" x14ac:dyDescent="0.15">
      <c r="D47" t="s">
        <v>139</v>
      </c>
      <c r="S47" s="1"/>
      <c r="V47" s="133"/>
      <c r="W47" s="133"/>
      <c r="X47" s="133"/>
      <c r="Y47" s="133"/>
      <c r="Z47" s="133"/>
      <c r="AA47" s="133"/>
      <c r="AB47" s="133"/>
      <c r="AC47" s="133"/>
      <c r="AD47" s="133"/>
      <c r="AE47" s="133"/>
      <c r="AF47" s="133"/>
      <c r="AG47" s="133"/>
    </row>
    <row r="48" spans="2:33" x14ac:dyDescent="0.15">
      <c r="D48" s="162" t="s">
        <v>140</v>
      </c>
      <c r="S48" s="1"/>
      <c r="V48" s="133"/>
      <c r="W48" s="133"/>
      <c r="X48" s="133"/>
      <c r="Y48" s="133"/>
      <c r="Z48" s="133"/>
      <c r="AA48" s="133"/>
      <c r="AB48" s="133"/>
      <c r="AC48" s="133"/>
      <c r="AD48" s="133"/>
      <c r="AE48" s="133"/>
      <c r="AF48" s="133"/>
      <c r="AG48" s="133"/>
    </row>
    <row r="49" spans="4:33" x14ac:dyDescent="0.15">
      <c r="D49" s="162"/>
      <c r="S49" s="1"/>
      <c r="V49" s="133"/>
      <c r="W49" s="133"/>
      <c r="X49" s="133"/>
      <c r="Y49" s="133"/>
      <c r="Z49" s="133"/>
      <c r="AA49" s="133"/>
      <c r="AB49" s="133"/>
      <c r="AC49" s="133"/>
      <c r="AD49" s="133"/>
      <c r="AE49" s="133"/>
      <c r="AF49" s="133"/>
      <c r="AG49" s="133"/>
    </row>
    <row r="50" spans="4:33" x14ac:dyDescent="0.15">
      <c r="S50" s="1"/>
      <c r="V50" s="133"/>
      <c r="W50" s="133"/>
      <c r="X50" s="133"/>
      <c r="Y50" s="133"/>
      <c r="Z50" s="133"/>
      <c r="AA50" s="133"/>
      <c r="AB50" s="133"/>
      <c r="AC50" s="133"/>
      <c r="AD50" s="133"/>
      <c r="AE50" s="133"/>
      <c r="AF50" s="133"/>
      <c r="AG50" s="133"/>
    </row>
    <row r="52" spans="4:33" x14ac:dyDescent="0.15">
      <c r="D52" s="4" t="s">
        <v>141</v>
      </c>
      <c r="V52" s="133"/>
      <c r="W52" s="133"/>
      <c r="X52" s="133"/>
      <c r="Y52" s="133"/>
      <c r="Z52" s="133"/>
      <c r="AA52" s="133"/>
      <c r="AB52" s="133"/>
      <c r="AC52" s="133"/>
      <c r="AD52" s="133"/>
      <c r="AE52" s="133"/>
      <c r="AF52" s="133"/>
      <c r="AG52" s="133"/>
    </row>
    <row r="53" spans="4:33" x14ac:dyDescent="0.15">
      <c r="D53" t="s">
        <v>142</v>
      </c>
    </row>
    <row r="54" spans="4:33" x14ac:dyDescent="0.15">
      <c r="D54" t="s">
        <v>143</v>
      </c>
    </row>
    <row r="55" spans="4:33" x14ac:dyDescent="0.15">
      <c r="D55" t="s">
        <v>144</v>
      </c>
    </row>
    <row r="56" spans="4:33" x14ac:dyDescent="0.15">
      <c r="D56" t="s">
        <v>145</v>
      </c>
    </row>
    <row r="57" spans="4:33" x14ac:dyDescent="0.15">
      <c r="D57" t="s">
        <v>146</v>
      </c>
    </row>
  </sheetData>
  <sheetProtection algorithmName="SHA-512" hashValue="ujdSXfmWrCbwUjWAYJGnO6pD+Bpnkvwl2gmkGjenH8cirZDi93C+5tq1lVsNyt6c6n+c1fNBF5auZCAi0Mip7A==" saltValue="EWe8Nw0+reBLWtCLCsgg/A==" spinCount="100000" sheet="1" objects="1" scenarios="1"/>
  <phoneticPr fontId="28" type="noConversion"/>
  <pageMargins left="0.7" right="0.7" top="0.75" bottom="0.75" header="0.3" footer="0.3"/>
  <pageSetup orientation="portrait" horizontalDpi="0" verticalDpi="0"/>
  <tableParts count="9">
    <tablePart r:id="rId1"/>
    <tablePart r:id="rId2"/>
    <tablePart r:id="rId3"/>
    <tablePart r:id="rId4"/>
    <tablePart r:id="rId5"/>
    <tablePart r:id="rId6"/>
    <tablePart r:id="rId7"/>
    <tablePart r:id="rId8"/>
    <tablePart r:id="rId9"/>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32335-1E44-4DFB-81C7-AB92936AFFD5}">
  <sheetPr codeName="Sheet2">
    <pageSetUpPr fitToPage="1"/>
  </sheetPr>
  <dimension ref="A3:AH164"/>
  <sheetViews>
    <sheetView topLeftCell="D79" workbookViewId="0">
      <selection activeCell="J97" sqref="J97"/>
    </sheetView>
  </sheetViews>
  <sheetFormatPr baseColWidth="10" defaultColWidth="9" defaultRowHeight="14" x14ac:dyDescent="0.15"/>
  <cols>
    <col min="1" max="1" width="2.33203125" customWidth="1"/>
    <col min="2" max="2" width="29.6640625" customWidth="1"/>
    <col min="3" max="3" width="18.5" customWidth="1"/>
    <col min="4" max="4" width="18.33203125" customWidth="1"/>
    <col min="5" max="5" width="23.33203125" customWidth="1"/>
    <col min="6" max="6" width="18.33203125" customWidth="1"/>
    <col min="7" max="7" width="17.6640625" customWidth="1"/>
    <col min="8" max="8" width="9.83203125" customWidth="1"/>
    <col min="9" max="9" width="17.83203125" customWidth="1"/>
    <col min="10" max="10" width="11.1640625" style="1" customWidth="1"/>
    <col min="11" max="11" width="13.1640625" customWidth="1"/>
    <col min="12" max="14" width="11" customWidth="1"/>
    <col min="15" max="15" width="16.33203125" customWidth="1"/>
    <col min="17" max="17" width="23.1640625" customWidth="1"/>
    <col min="18" max="18" width="15.5" customWidth="1"/>
    <col min="19" max="19" width="18.6640625" style="185" customWidth="1"/>
    <col min="20" max="20" width="14.33203125" customWidth="1"/>
    <col min="21" max="21" width="15.33203125" customWidth="1"/>
    <col min="22" max="22" width="10.5" customWidth="1"/>
    <col min="23" max="23" width="11.1640625" customWidth="1"/>
    <col min="24" max="24" width="14.33203125" customWidth="1"/>
    <col min="25" max="25" width="14.83203125" customWidth="1"/>
    <col min="26" max="26" width="14.6640625" customWidth="1"/>
    <col min="27" max="27" width="8" customWidth="1"/>
    <col min="28" max="28" width="11.1640625" customWidth="1"/>
    <col min="29" max="29" width="11" customWidth="1"/>
    <col min="30" max="30" width="8.83203125" customWidth="1"/>
    <col min="31" max="31" width="10.33203125" customWidth="1"/>
    <col min="32" max="32" width="11" customWidth="1"/>
    <col min="34" max="34" width="17.5" customWidth="1"/>
  </cols>
  <sheetData>
    <row r="3" spans="3:17" x14ac:dyDescent="0.15">
      <c r="F3" s="332" t="s">
        <v>147</v>
      </c>
      <c r="G3" s="332"/>
      <c r="H3" s="332"/>
      <c r="I3" s="332"/>
      <c r="J3" s="332"/>
      <c r="M3" s="4"/>
      <c r="N3" s="4"/>
      <c r="O3" s="4"/>
      <c r="Q3" s="4"/>
    </row>
    <row r="4" spans="3:17" x14ac:dyDescent="0.15">
      <c r="M4" s="2"/>
      <c r="N4" s="2"/>
      <c r="O4" s="2"/>
      <c r="Q4" s="2"/>
    </row>
    <row r="7" spans="3:17" ht="15" thickBot="1" x14ac:dyDescent="0.2"/>
    <row r="8" spans="3:17" ht="15" thickBot="1" x14ac:dyDescent="0.2">
      <c r="C8" s="4" t="s">
        <v>148</v>
      </c>
      <c r="E8" s="186"/>
      <c r="F8" s="134"/>
      <c r="G8" s="4" t="s">
        <v>149</v>
      </c>
      <c r="H8" s="307"/>
      <c r="I8" s="71"/>
    </row>
    <row r="9" spans="3:17" ht="15" thickBot="1" x14ac:dyDescent="0.2">
      <c r="C9" s="4" t="s">
        <v>150</v>
      </c>
      <c r="E9" s="97"/>
      <c r="F9" s="134"/>
    </row>
    <row r="10" spans="3:17" ht="15" thickBot="1" x14ac:dyDescent="0.2">
      <c r="C10" s="4" t="s">
        <v>151</v>
      </c>
      <c r="E10" s="97"/>
      <c r="F10" s="134"/>
      <c r="G10" s="4" t="s">
        <v>152</v>
      </c>
    </row>
    <row r="11" spans="3:17" ht="15" thickBot="1" x14ac:dyDescent="0.2">
      <c r="C11" s="4" t="s">
        <v>153</v>
      </c>
      <c r="E11" s="187"/>
      <c r="F11" s="134"/>
      <c r="G11" s="308" t="s">
        <v>154</v>
      </c>
      <c r="H11" s="282"/>
      <c r="I11" s="282"/>
      <c r="J11" s="301"/>
      <c r="K11" s="282"/>
      <c r="L11" s="282"/>
      <c r="M11" s="282"/>
      <c r="N11" s="282"/>
      <c r="O11" s="309"/>
    </row>
    <row r="12" spans="3:17" ht="15" thickBot="1" x14ac:dyDescent="0.2">
      <c r="C12" s="4" t="s">
        <v>155</v>
      </c>
      <c r="E12" s="187"/>
      <c r="F12" s="134"/>
      <c r="G12" s="310"/>
      <c r="H12" t="s">
        <v>156</v>
      </c>
      <c r="O12" s="56"/>
    </row>
    <row r="13" spans="3:17" ht="15" thickBot="1" x14ac:dyDescent="0.2">
      <c r="C13" s="4" t="s">
        <v>157</v>
      </c>
      <c r="E13" s="187"/>
      <c r="F13" s="134"/>
      <c r="G13" s="310" t="s">
        <v>158</v>
      </c>
      <c r="O13" s="56"/>
    </row>
    <row r="14" spans="3:17" x14ac:dyDescent="0.15">
      <c r="E14" s="188"/>
      <c r="F14" s="134"/>
      <c r="G14" s="310" t="s">
        <v>159</v>
      </c>
      <c r="O14" s="56"/>
    </row>
    <row r="15" spans="3:17" x14ac:dyDescent="0.15">
      <c r="E15" s="188"/>
      <c r="F15" s="134"/>
      <c r="G15" s="310" t="s">
        <v>160</v>
      </c>
      <c r="O15" s="56"/>
    </row>
    <row r="16" spans="3:17" x14ac:dyDescent="0.15">
      <c r="E16" s="188"/>
      <c r="F16" s="134"/>
      <c r="G16" s="311" t="s">
        <v>161</v>
      </c>
      <c r="H16" s="312"/>
      <c r="I16" s="312"/>
      <c r="J16" s="313"/>
      <c r="K16" s="312"/>
      <c r="L16" s="312"/>
      <c r="M16" s="312"/>
      <c r="N16" s="312"/>
      <c r="O16" s="47"/>
      <c r="Q16" s="4" t="s">
        <v>162</v>
      </c>
    </row>
    <row r="17" spans="2:34" ht="15" x14ac:dyDescent="0.2">
      <c r="B17" s="1"/>
      <c r="C17" s="189"/>
      <c r="D17" s="189"/>
      <c r="E17" s="189"/>
      <c r="F17" s="189"/>
      <c r="G17" s="190"/>
      <c r="H17" s="190"/>
      <c r="I17" s="190"/>
    </row>
    <row r="18" spans="2:34" ht="17" thickBot="1" x14ac:dyDescent="0.25">
      <c r="B18" s="191" t="s">
        <v>163</v>
      </c>
      <c r="C18" s="189"/>
      <c r="D18" s="189"/>
      <c r="E18" s="189"/>
      <c r="F18" s="189"/>
      <c r="G18" s="190"/>
    </row>
    <row r="19" spans="2:34" s="196" customFormat="1" ht="18" customHeight="1" thickBot="1" x14ac:dyDescent="0.2">
      <c r="B19" s="192"/>
      <c r="C19" s="193"/>
      <c r="D19" s="193"/>
      <c r="E19" s="193"/>
      <c r="F19" s="194"/>
      <c r="G19" s="340" t="s">
        <v>164</v>
      </c>
      <c r="H19" s="341"/>
      <c r="I19" s="341"/>
      <c r="J19" s="341"/>
      <c r="K19" s="341"/>
      <c r="L19" s="195"/>
      <c r="Q19" s="362" t="s">
        <v>165</v>
      </c>
      <c r="R19" s="363"/>
      <c r="S19" s="363"/>
      <c r="T19" s="363"/>
      <c r="U19" s="363"/>
      <c r="V19" s="363"/>
      <c r="W19" s="364"/>
      <c r="Z19" s="362" t="s">
        <v>166</v>
      </c>
      <c r="AA19" s="363"/>
      <c r="AB19" s="363"/>
      <c r="AC19" s="363"/>
      <c r="AD19" s="363"/>
      <c r="AE19" s="363"/>
      <c r="AF19" s="364"/>
    </row>
    <row r="20" spans="2:34" s="196" customFormat="1" ht="30" customHeight="1" thickTop="1" thickBot="1" x14ac:dyDescent="0.2">
      <c r="B20" s="337" t="s">
        <v>167</v>
      </c>
      <c r="C20" s="171" t="s">
        <v>168</v>
      </c>
      <c r="D20" s="169" t="s">
        <v>169</v>
      </c>
      <c r="E20" s="170" t="s">
        <v>170</v>
      </c>
      <c r="F20" s="171" t="s">
        <v>171</v>
      </c>
      <c r="G20" s="172" t="s">
        <v>172</v>
      </c>
      <c r="H20" s="293" t="s">
        <v>173</v>
      </c>
      <c r="I20" s="173" t="s">
        <v>174</v>
      </c>
      <c r="J20" s="293" t="s">
        <v>175</v>
      </c>
      <c r="K20" s="179" t="s">
        <v>77</v>
      </c>
      <c r="Q20" s="197" t="s">
        <v>176</v>
      </c>
      <c r="R20" s="198" t="s">
        <v>177</v>
      </c>
      <c r="S20" s="198" t="s">
        <v>178</v>
      </c>
      <c r="T20" s="198" t="s">
        <v>179</v>
      </c>
      <c r="U20" s="198" t="s">
        <v>180</v>
      </c>
      <c r="V20" s="198" t="s">
        <v>7</v>
      </c>
      <c r="W20" s="199" t="s">
        <v>181</v>
      </c>
      <c r="Z20" s="197" t="s">
        <v>176</v>
      </c>
      <c r="AA20" s="198" t="s">
        <v>177</v>
      </c>
      <c r="AB20" s="198" t="s">
        <v>178</v>
      </c>
      <c r="AC20" s="198" t="s">
        <v>179</v>
      </c>
      <c r="AD20" s="198" t="s">
        <v>180</v>
      </c>
      <c r="AE20" s="198" t="s">
        <v>7</v>
      </c>
      <c r="AF20" s="199" t="s">
        <v>181</v>
      </c>
      <c r="AH20" s="200" t="s">
        <v>182</v>
      </c>
    </row>
    <row r="21" spans="2:34" ht="16" thickTop="1" x14ac:dyDescent="0.2">
      <c r="B21" s="338"/>
      <c r="C21" s="147"/>
      <c r="D21" s="98"/>
      <c r="E21" s="98"/>
      <c r="F21" s="146"/>
      <c r="G21" s="99"/>
      <c r="H21" s="160"/>
      <c r="I21" s="100"/>
      <c r="J21" s="201" t="str">
        <f>IF(SandBHQP[[#This Row],[FTE %]]&gt;0,100-SandBHQP[[#This Row],[FTE %]],"")</f>
        <v/>
      </c>
      <c r="K21" s="101"/>
      <c r="Q21" s="202" t="str">
        <f>IF(SandBHQP[[#This Row],[Salary &amp; Benefits]]&lt;&gt;"","30000","")</f>
        <v/>
      </c>
      <c r="R21" s="203" t="str">
        <f>IF(SandBHQP[[#This Row],[Salary &amp; Benefits]]&lt;&gt;"","11601","")</f>
        <v/>
      </c>
      <c r="S21" s="203" t="str">
        <f>IF(SandBHQP[[#This Row],[Salary &amp; Benefits]]&lt;&gt;"",_xlfn.XLOOKUP(SandBHQP[[#This Row],[HQP Status]],TAccnt[Item],TAccnt[Account Code],"",0,1),"")</f>
        <v/>
      </c>
      <c r="T21" s="203" t="str">
        <f>IF(SandBHQP[[#This Row],[Salary &amp; Benefits]]&lt;&gt;"","98001","")</f>
        <v/>
      </c>
      <c r="U21" s="204" t="str" cm="1">
        <f t="array" ref="U21">IF(AND(SandBHQP[[#This Row],[Primary 
Project]]&lt;&gt;"",SandBHQP[[#This Row],[FTE %]]&lt;&gt;""),Indices2Class($E$8,SandBHQP[[#This Row],[Primary 
Project]]),"")</f>
        <v/>
      </c>
      <c r="V21" s="203" t="str">
        <f>IF(SandBHQP[[#This Row],[Salary &amp; Benefits]]&lt;&gt;"","305102","")</f>
        <v/>
      </c>
      <c r="W21" s="205" t="str">
        <f>IF(AND(SandBHQP[[#This Row],[FTE %]]&gt;0,SandBHQP[[#This Row],[Salary &amp; Benefits]]&lt;&gt;""),ROUND(SandBHQP[[#This Row],[Salary &amp; Benefits]]*SandBHQP[[#This Row],[FTE %]]/100,2),"")</f>
        <v/>
      </c>
      <c r="Z21" s="202" t="str">
        <f>IF(Template!$AF21&lt;&gt;"","30000","")</f>
        <v/>
      </c>
      <c r="AA21" s="203" t="str">
        <f>IF(Template!$AF21&lt;&gt;"","11601","")</f>
        <v/>
      </c>
      <c r="AB21" s="203" t="str">
        <f>IF(Template!$AF21&lt;&gt;"",_xlfn.XLOOKUP(SandBHQP[[#This Row],[HQP Status]],TAccnt[Item],TAccnt[Account Code],"",0,1),"")</f>
        <v/>
      </c>
      <c r="AC21" s="203" t="str">
        <f>IF(Template!$AF21&lt;&gt;"","98001","")</f>
        <v/>
      </c>
      <c r="AD21" s="204" t="str" cm="1">
        <f t="array" ref="AD21">IF(AND(SandBHQP[[#This Row],[FTE %2]]&gt;0,SandBHQP[[#This Row],[FTE %2]]&lt;&gt;""),Indices2Class($E$8,SandBHQP[[#This Row],[Secondary 
Project ]]),"")</f>
        <v/>
      </c>
      <c r="AE21" s="203" t="str">
        <f>IF(Template!$AF21&lt;&gt;"","305102","")</f>
        <v/>
      </c>
      <c r="AF21" s="205" t="str">
        <f>IF(AND(SandBHQP[[#This Row],[FTE %2]]&gt;0,SandBHQP[[#This Row],[Salary &amp; Benefits]]&lt;&gt;""),SandBHQP[[#This Row],[Salary &amp; Benefits]]-W21,"")</f>
        <v/>
      </c>
      <c r="AH21" s="206" t="str">
        <f>IF(SandBHQP[[#This Row],[Salary &amp; Benefits]]&lt;&gt;"",IF(Template!$W21+IF(Template!$AF21&lt;&gt;"",Template!$AF21,0)=SandBHQP[[#This Row],[Salary &amp; Benefits]],TRUE,FALSE),"")</f>
        <v/>
      </c>
    </row>
    <row r="22" spans="2:34" ht="15" x14ac:dyDescent="0.2">
      <c r="B22" s="338"/>
      <c r="C22" s="147"/>
      <c r="D22" s="98"/>
      <c r="E22" s="98"/>
      <c r="F22" s="146"/>
      <c r="G22" s="102"/>
      <c r="H22" s="161"/>
      <c r="I22" s="103"/>
      <c r="J22" s="207" t="str">
        <f>IF(SandBHQP[[#This Row],[FTE %]]&gt;0,100-SandBHQP[[#This Row],[FTE %]],"")</f>
        <v/>
      </c>
      <c r="K22" s="104"/>
      <c r="Q22" s="208" t="str">
        <f>IF(SandBHQP[[#This Row],[Salary &amp; Benefits]]&lt;&gt;"","30000","")</f>
        <v/>
      </c>
      <c r="R22" s="185" t="str">
        <f>IF(SandBHQP[[#This Row],[Salary &amp; Benefits]]&lt;&gt;"","11601","")</f>
        <v/>
      </c>
      <c r="S22" s="185" t="str">
        <f>IF(SandBHQP[[#This Row],[Salary &amp; Benefits]]&lt;&gt;"",_xlfn.XLOOKUP(SandBHQP[[#This Row],[HQP Status]],TAccnt[Item],TAccnt[Account Code],"",0,1),"")</f>
        <v/>
      </c>
      <c r="T22" s="185" t="str">
        <f>IF(SandBHQP[[#This Row],[Salary &amp; Benefits]]&lt;&gt;"","98001","")</f>
        <v/>
      </c>
      <c r="U22" s="1" t="str" cm="1">
        <f t="array" ref="U22">IF(SandBHQP[[#This Row],[FTE %]]&lt;&gt;"",Indices2Class($E$8,SandBHQP[[#This Row],[Primary 
Project]]),"")</f>
        <v/>
      </c>
      <c r="V22" s="185" t="str">
        <f>IF(SandBHQP[[#This Row],[Salary &amp; Benefits]]&lt;&gt;"","305102","")</f>
        <v/>
      </c>
      <c r="W22" s="209" t="str">
        <f>IF(AND(SandBHQP[[#This Row],[FTE %]]&gt;0,SandBHQP[[#This Row],[Salary &amp; Benefits]]&lt;&gt;""),ROUND(SandBHQP[[#This Row],[Salary &amp; Benefits]]*SandBHQP[[#This Row],[FTE %]]/100,2),"")</f>
        <v/>
      </c>
      <c r="Z22" s="208" t="str">
        <f>IF(Template!$AF22&lt;&gt;"","30000","")</f>
        <v/>
      </c>
      <c r="AA22" s="185" t="str">
        <f>IF(Template!$AF22&lt;&gt;"","11601","")</f>
        <v/>
      </c>
      <c r="AB22" s="185" t="str">
        <f>IF(Template!$AF22&lt;&gt;"",_xlfn.XLOOKUP(SandBHQP[[#This Row],[HQP Status]],TAccnt[Item],TAccnt[Account Code],"",0,1),"")</f>
        <v/>
      </c>
      <c r="AC22" s="185" t="str">
        <f>IF(Template!$AF22&lt;&gt;"","98001","")</f>
        <v/>
      </c>
      <c r="AD22" s="1" t="str" cm="1">
        <f t="array" ref="AD22">IF(AND(SandBHQP[[#This Row],[FTE %2]]&gt;0,SandBHQP[[#This Row],[FTE %2]]&lt;&gt;""),Indices2Class($E$8,SandBHQP[[#This Row],[Secondary 
Project ]]),"")</f>
        <v/>
      </c>
      <c r="AE22" s="185" t="str">
        <f>IF(Template!$AF22&lt;&gt;"","305102","")</f>
        <v/>
      </c>
      <c r="AF22" s="209" t="str">
        <f>IF(AND(SandBHQP[[#This Row],[FTE %2]]&gt;0,SandBHQP[[#This Row],[Salary &amp; Benefits]]&lt;&gt;""),SandBHQP[[#This Row],[Salary &amp; Benefits]]-W22,"")</f>
        <v/>
      </c>
      <c r="AH22" s="210" t="str">
        <f>IF(SandBHQP[[#This Row],[Salary &amp; Benefits]]&lt;&gt;"",IF(Template!$W22+IF(Template!$AF22&lt;&gt;"",Template!$AF22,0)=SandBHQP[[#This Row],[Salary &amp; Benefits]],TRUE,FALSE),"")</f>
        <v/>
      </c>
    </row>
    <row r="23" spans="2:34" ht="15" x14ac:dyDescent="0.2">
      <c r="B23" s="338"/>
      <c r="C23" s="147"/>
      <c r="D23" s="98"/>
      <c r="E23" s="98"/>
      <c r="F23" s="146"/>
      <c r="G23" s="102"/>
      <c r="H23" s="161"/>
      <c r="I23" s="103"/>
      <c r="J23" s="207" t="str">
        <f>IF(SandBHQP[[#This Row],[FTE %]]&gt;0,100-SandBHQP[[#This Row],[FTE %]],"")</f>
        <v/>
      </c>
      <c r="K23" s="104"/>
      <c r="Q23" s="211" t="str">
        <f>IF(SandBHQP[[#This Row],[Salary &amp; Benefits]]&lt;&gt;"","30000","")</f>
        <v/>
      </c>
      <c r="R23" s="212" t="str">
        <f>IF(SandBHQP[[#This Row],[Salary &amp; Benefits]]&lt;&gt;"","11601","")</f>
        <v/>
      </c>
      <c r="S23" s="212" t="str">
        <f>IF(SandBHQP[[#This Row],[Salary &amp; Benefits]]&lt;&gt;"",_xlfn.XLOOKUP(SandBHQP[[#This Row],[HQP Status]],TAccnt[Item],TAccnt[Account Code],"",0,1),"")</f>
        <v/>
      </c>
      <c r="T23" s="212" t="str">
        <f>IF(SandBHQP[[#This Row],[Salary &amp; Benefits]]&lt;&gt;"","98001","")</f>
        <v/>
      </c>
      <c r="U23" s="213" t="str" cm="1">
        <f t="array" ref="U23">IF(SandBHQP[[#This Row],[FTE %]]&lt;&gt;"",Indices2Class($E$8,SandBHQP[[#This Row],[Primary 
Project]]),"")</f>
        <v/>
      </c>
      <c r="V23" s="212" t="str">
        <f>IF(SandBHQP[[#This Row],[Salary &amp; Benefits]]&lt;&gt;"","305102","")</f>
        <v/>
      </c>
      <c r="W23" s="214" t="str">
        <f>IF(AND(SandBHQP[[#This Row],[FTE %]]&gt;0,SandBHQP[[#This Row],[Salary &amp; Benefits]]&lt;&gt;""),ROUND(SandBHQP[[#This Row],[Salary &amp; Benefits]]*SandBHQP[[#This Row],[FTE %]]/100,2),"")</f>
        <v/>
      </c>
      <c r="Z23" s="211" t="str">
        <f>IF(Template!$AF23&lt;&gt;"","30000","")</f>
        <v/>
      </c>
      <c r="AA23" s="212" t="str">
        <f>IF(Template!$AF23&lt;&gt;"","11601","")</f>
        <v/>
      </c>
      <c r="AB23" s="212" t="str">
        <f>IF(Template!$AF23&lt;&gt;"",_xlfn.XLOOKUP(SandBHQP[[#This Row],[HQP Status]],TAccnt[Item],TAccnt[Account Code],"",0,1),"")</f>
        <v/>
      </c>
      <c r="AC23" s="212" t="str">
        <f>IF(Template!$AF23&lt;&gt;"","98001","")</f>
        <v/>
      </c>
      <c r="AD23" s="213" t="str" cm="1">
        <f t="array" ref="AD23">IF(AND(SandBHQP[[#This Row],[FTE %2]]&gt;0,SandBHQP[[#This Row],[FTE %2]]&lt;&gt;""),Indices2Class($E$8,SandBHQP[[#This Row],[Secondary 
Project ]]),"")</f>
        <v/>
      </c>
      <c r="AE23" s="212" t="str">
        <f>IF(Template!$AF23&lt;&gt;"","305102","")</f>
        <v/>
      </c>
      <c r="AF23" s="214" t="str">
        <f>IF(AND(SandBHQP[[#This Row],[FTE %2]]&gt;0,SandBHQP[[#This Row],[Salary &amp; Benefits]]&lt;&gt;""),SandBHQP[[#This Row],[Salary &amp; Benefits]]-W23,"")</f>
        <v/>
      </c>
      <c r="AH23" s="215" t="str">
        <f>IF(SandBHQP[[#This Row],[Salary &amp; Benefits]]&lt;&gt;"",IF(Template!$W23+IF(Template!$AF23&lt;&gt;"",Template!$AF23,0)=SandBHQP[[#This Row],[Salary &amp; Benefits]],TRUE,FALSE),"")</f>
        <v/>
      </c>
    </row>
    <row r="24" spans="2:34" ht="15" x14ac:dyDescent="0.2">
      <c r="B24" s="338"/>
      <c r="C24" s="147"/>
      <c r="D24" s="98"/>
      <c r="E24" s="98"/>
      <c r="F24" s="146"/>
      <c r="G24" s="102"/>
      <c r="H24" s="161"/>
      <c r="I24" s="103"/>
      <c r="J24" s="207" t="str">
        <f>IF(SandBHQP[[#This Row],[FTE %]]&gt;0,100-SandBHQP[[#This Row],[FTE %]],"")</f>
        <v/>
      </c>
      <c r="K24" s="104"/>
      <c r="Q24" s="208" t="str">
        <f>IF(SandBHQP[[#This Row],[Salary &amp; Benefits]]&lt;&gt;"","30000","")</f>
        <v/>
      </c>
      <c r="R24" s="185" t="str">
        <f>IF(SandBHQP[[#This Row],[Salary &amp; Benefits]]&lt;&gt;"","11601","")</f>
        <v/>
      </c>
      <c r="S24" s="185" t="str">
        <f>IF(SandBHQP[[#This Row],[Salary &amp; Benefits]]&lt;&gt;"",_xlfn.XLOOKUP(SandBHQP[[#This Row],[HQP Status]],TAccnt[Item],TAccnt[Account Code],"",0,1),"")</f>
        <v/>
      </c>
      <c r="T24" s="185" t="str">
        <f>IF(SandBHQP[[#This Row],[Salary &amp; Benefits]]&lt;&gt;"","98001","")</f>
        <v/>
      </c>
      <c r="U24" s="1" t="str" cm="1">
        <f t="array" ref="U24">IF(SandBHQP[[#This Row],[FTE %]]&lt;&gt;"",Indices2Class($E$8,SandBHQP[[#This Row],[Primary 
Project]]),"")</f>
        <v/>
      </c>
      <c r="V24" s="185" t="str">
        <f>IF(SandBHQP[[#This Row],[Salary &amp; Benefits]]&lt;&gt;"","305102","")</f>
        <v/>
      </c>
      <c r="W24" s="209" t="str">
        <f>IF(AND(SandBHQP[[#This Row],[FTE %]]&gt;0,SandBHQP[[#This Row],[Salary &amp; Benefits]]&lt;&gt;""),ROUND(SandBHQP[[#This Row],[Salary &amp; Benefits]]*SandBHQP[[#This Row],[FTE %]]/100,2),"")</f>
        <v/>
      </c>
      <c r="Z24" s="208" t="str">
        <f>IF(Template!$AF24&lt;&gt;"","30000","")</f>
        <v/>
      </c>
      <c r="AA24" s="185" t="str">
        <f>IF(Template!$AF24&lt;&gt;"","11601","")</f>
        <v/>
      </c>
      <c r="AB24" s="185" t="str">
        <f>IF(Template!$AF24&lt;&gt;"",_xlfn.XLOOKUP(SandBHQP[[#This Row],[HQP Status]],TAccnt[Item],TAccnt[Account Code],"",0,1),"")</f>
        <v/>
      </c>
      <c r="AC24" s="185" t="str">
        <f>IF(Template!$AF24&lt;&gt;"","98001","")</f>
        <v/>
      </c>
      <c r="AD24" s="1" t="str" cm="1">
        <f t="array" ref="AD24">IF(AND(SandBHQP[[#This Row],[FTE %2]]&gt;0,SandBHQP[[#This Row],[FTE %2]]&lt;&gt;""),Indices2Class($E$8,SandBHQP[[#This Row],[Secondary 
Project ]]),"")</f>
        <v/>
      </c>
      <c r="AE24" s="185" t="str">
        <f>IF(Template!$AF24&lt;&gt;"","305102","")</f>
        <v/>
      </c>
      <c r="AF24" s="209" t="str">
        <f>IF(AND(SandBHQP[[#This Row],[FTE %2]]&gt;0,SandBHQP[[#This Row],[Salary &amp; Benefits]]&lt;&gt;""),SandBHQP[[#This Row],[Salary &amp; Benefits]]-W24,"")</f>
        <v/>
      </c>
      <c r="AH24" s="210" t="str">
        <f>IF(SandBHQP[[#This Row],[Salary &amp; Benefits]]&lt;&gt;"",IF(Template!$W24+IF(Template!$AF24&lt;&gt;"",Template!$AF24,0)=SandBHQP[[#This Row],[Salary &amp; Benefits]],TRUE,FALSE),"")</f>
        <v/>
      </c>
    </row>
    <row r="25" spans="2:34" ht="15" x14ac:dyDescent="0.2">
      <c r="B25" s="338"/>
      <c r="C25" s="147"/>
      <c r="D25" s="98"/>
      <c r="E25" s="98"/>
      <c r="F25" s="146"/>
      <c r="G25" s="102"/>
      <c r="H25" s="161"/>
      <c r="I25" s="103"/>
      <c r="J25" s="207" t="str">
        <f>IF(SandBHQP[[#This Row],[FTE %]]&gt;0,100-SandBHQP[[#This Row],[FTE %]],"")</f>
        <v/>
      </c>
      <c r="K25" s="105"/>
      <c r="Q25" s="211" t="str">
        <f>IF(SandBHQP[[#This Row],[Salary &amp; Benefits]]&lt;&gt;"","30000","")</f>
        <v/>
      </c>
      <c r="R25" s="212" t="str">
        <f>IF(SandBHQP[[#This Row],[Salary &amp; Benefits]]&lt;&gt;"","11601","")</f>
        <v/>
      </c>
      <c r="S25" s="212" t="str">
        <f>IF(SandBHQP[[#This Row],[Salary &amp; Benefits]]&lt;&gt;"",_xlfn.XLOOKUP(SandBHQP[[#This Row],[HQP Status]],TAccnt[Item],TAccnt[Account Code],"",0,1),"")</f>
        <v/>
      </c>
      <c r="T25" s="212" t="str">
        <f>IF(SandBHQP[[#This Row],[Salary &amp; Benefits]]&lt;&gt;"","98001","")</f>
        <v/>
      </c>
      <c r="U25" s="213" t="str" cm="1">
        <f t="array" ref="U25">IF(SandBHQP[[#This Row],[FTE %]]&lt;&gt;"",Indices2Class($E$8,SandBHQP[[#This Row],[Primary 
Project]]),"")</f>
        <v/>
      </c>
      <c r="V25" s="212" t="str">
        <f>IF(SandBHQP[[#This Row],[Salary &amp; Benefits]]&lt;&gt;"","305102","")</f>
        <v/>
      </c>
      <c r="W25" s="214" t="str">
        <f>IF(AND(SandBHQP[[#This Row],[FTE %]]&gt;0,SandBHQP[[#This Row],[Salary &amp; Benefits]]&lt;&gt;""),ROUND(SandBHQP[[#This Row],[Salary &amp; Benefits]]*SandBHQP[[#This Row],[FTE %]]/100,2),"")</f>
        <v/>
      </c>
      <c r="Z25" s="211" t="str">
        <f>IF(Template!$AF25&lt;&gt;"","30000","")</f>
        <v/>
      </c>
      <c r="AA25" s="212" t="str">
        <f>IF(Template!$AF25&lt;&gt;"","11601","")</f>
        <v/>
      </c>
      <c r="AB25" s="212" t="str">
        <f>IF(Template!$AF25&lt;&gt;"",_xlfn.XLOOKUP(SandBHQP[[#This Row],[HQP Status]],TAccnt[Item],TAccnt[Account Code],"",0,1),"")</f>
        <v/>
      </c>
      <c r="AC25" s="212" t="str">
        <f>IF(Template!$AF25&lt;&gt;"","98001","")</f>
        <v/>
      </c>
      <c r="AD25" s="213" t="str" cm="1">
        <f t="array" ref="AD25">IF(AND(SandBHQP[[#This Row],[FTE %2]]&gt;0,SandBHQP[[#This Row],[FTE %2]]&lt;&gt;""),Indices2Class($E$8,SandBHQP[[#This Row],[Secondary 
Project ]]),"")</f>
        <v/>
      </c>
      <c r="AE25" s="212" t="str">
        <f>IF(Template!$AF25&lt;&gt;"","305102","")</f>
        <v/>
      </c>
      <c r="AF25" s="214" t="str">
        <f>IF(AND(SandBHQP[[#This Row],[FTE %2]]&gt;0,SandBHQP[[#This Row],[Salary &amp; Benefits]]&lt;&gt;""),SandBHQP[[#This Row],[Salary &amp; Benefits]]-W25,"")</f>
        <v/>
      </c>
      <c r="AH25" s="215" t="str">
        <f>IF(SandBHQP[[#This Row],[Salary &amp; Benefits]]&lt;&gt;"",IF(Template!$W25+IF(Template!$AF25&lt;&gt;"",Template!$AF25,0)=SandBHQP[[#This Row],[Salary &amp; Benefits]],TRUE,FALSE),"")</f>
        <v/>
      </c>
    </row>
    <row r="26" spans="2:34" ht="15" x14ac:dyDescent="0.2">
      <c r="B26" s="338"/>
      <c r="C26" s="147"/>
      <c r="D26" s="98"/>
      <c r="E26" s="98"/>
      <c r="F26" s="146"/>
      <c r="G26" s="102"/>
      <c r="H26" s="161"/>
      <c r="I26" s="103"/>
      <c r="J26" s="207" t="str">
        <f>IF(SandBHQP[[#This Row],[FTE %]]&gt;0,100-SandBHQP[[#This Row],[FTE %]],"")</f>
        <v/>
      </c>
      <c r="K26" s="104"/>
      <c r="Q26" s="208" t="str">
        <f>IF(SandBHQP[[#This Row],[Salary &amp; Benefits]]&lt;&gt;"","30000","")</f>
        <v/>
      </c>
      <c r="R26" s="185" t="str">
        <f>IF(SandBHQP[[#This Row],[Salary &amp; Benefits]]&lt;&gt;"","11601","")</f>
        <v/>
      </c>
      <c r="S26" s="185" t="str">
        <f>IF(SandBHQP[[#This Row],[Salary &amp; Benefits]]&lt;&gt;"",_xlfn.XLOOKUP(SandBHQP[[#This Row],[HQP Status]],TAccnt[Item],TAccnt[Account Code],"",0,1),"")</f>
        <v/>
      </c>
      <c r="T26" s="185" t="str">
        <f>IF(SandBHQP[[#This Row],[Salary &amp; Benefits]]&lt;&gt;"","98001","")</f>
        <v/>
      </c>
      <c r="U26" s="1" t="str" cm="1">
        <f t="array" ref="U26">IF(SandBHQP[[#This Row],[FTE %]]&lt;&gt;"",Indices2Class($E$8,SandBHQP[[#This Row],[Primary 
Project]]),"")</f>
        <v/>
      </c>
      <c r="V26" s="185" t="str">
        <f>IF(SandBHQP[[#This Row],[Salary &amp; Benefits]]&lt;&gt;"","305102","")</f>
        <v/>
      </c>
      <c r="W26" s="209" t="str">
        <f>IF(AND(SandBHQP[[#This Row],[FTE %]]&gt;0,SandBHQP[[#This Row],[Salary &amp; Benefits]]&lt;&gt;""),ROUND(SandBHQP[[#This Row],[Salary &amp; Benefits]]*SandBHQP[[#This Row],[FTE %]]/100,2),"")</f>
        <v/>
      </c>
      <c r="Z26" s="208" t="str">
        <f>IF(Template!$AF26&lt;&gt;"","30000","")</f>
        <v/>
      </c>
      <c r="AA26" s="185" t="str">
        <f>IF(Template!$AF26&lt;&gt;"","11601","")</f>
        <v/>
      </c>
      <c r="AB26" s="185" t="str">
        <f>IF(Template!$AF26&lt;&gt;"",_xlfn.XLOOKUP(SandBHQP[[#This Row],[HQP Status]],TAccnt[Item],TAccnt[Account Code],"",0,1),"")</f>
        <v/>
      </c>
      <c r="AC26" s="185" t="str">
        <f>IF(Template!$AF26&lt;&gt;"","98001","")</f>
        <v/>
      </c>
      <c r="AD26" s="1" t="str" cm="1">
        <f t="array" ref="AD26">IF(AND(SandBHQP[[#This Row],[FTE %2]]&gt;0,SandBHQP[[#This Row],[FTE %2]]&lt;&gt;""),Indices2Class($E$8,SandBHQP[[#This Row],[Secondary 
Project ]]),"")</f>
        <v/>
      </c>
      <c r="AE26" s="185" t="str">
        <f>IF(Template!$AF26&lt;&gt;"","305102","")</f>
        <v/>
      </c>
      <c r="AF26" s="209" t="str">
        <f>IF(AND(SandBHQP[[#This Row],[FTE %2]]&gt;0,SandBHQP[[#This Row],[Salary &amp; Benefits]]&lt;&gt;""),SandBHQP[[#This Row],[Salary &amp; Benefits]]-W26,"")</f>
        <v/>
      </c>
      <c r="AH26" s="210" t="str">
        <f>IF(SandBHQP[[#This Row],[Salary &amp; Benefits]]&lt;&gt;"",IF(Template!$W26+IF(Template!$AF26&lt;&gt;"",Template!$AF26,0)=SandBHQP[[#This Row],[Salary &amp; Benefits]],TRUE,FALSE),"")</f>
        <v/>
      </c>
    </row>
    <row r="27" spans="2:34" ht="15" x14ac:dyDescent="0.2">
      <c r="B27" s="338"/>
      <c r="C27" s="147"/>
      <c r="D27" s="98"/>
      <c r="E27" s="98"/>
      <c r="F27" s="146"/>
      <c r="G27" s="102"/>
      <c r="H27" s="161"/>
      <c r="I27" s="103"/>
      <c r="J27" s="207" t="str">
        <f>IF(SandBHQP[[#This Row],[FTE %]]&gt;0,100-SandBHQP[[#This Row],[FTE %]],"")</f>
        <v/>
      </c>
      <c r="K27" s="104"/>
      <c r="Q27" s="211" t="str">
        <f>IF(SandBHQP[[#This Row],[Salary &amp; Benefits]]&lt;&gt;"","30000","")</f>
        <v/>
      </c>
      <c r="R27" s="212" t="str">
        <f>IF(SandBHQP[[#This Row],[Salary &amp; Benefits]]&lt;&gt;"","11601","")</f>
        <v/>
      </c>
      <c r="S27" s="212" t="str">
        <f>IF(SandBHQP[[#This Row],[Salary &amp; Benefits]]&lt;&gt;"",_xlfn.XLOOKUP(SandBHQP[[#This Row],[HQP Status]],TAccnt[Item],TAccnt[Account Code],"",0,1),"")</f>
        <v/>
      </c>
      <c r="T27" s="212" t="str">
        <f>IF(SandBHQP[[#This Row],[Salary &amp; Benefits]]&lt;&gt;"","98001","")</f>
        <v/>
      </c>
      <c r="U27" s="213" t="str" cm="1">
        <f t="array" ref="U27">IF(SandBHQP[[#This Row],[FTE %]]&lt;&gt;"",Indices2Class($E$8,SandBHQP[[#This Row],[Primary 
Project]]),"")</f>
        <v/>
      </c>
      <c r="V27" s="212" t="str">
        <f>IF(SandBHQP[[#This Row],[Salary &amp; Benefits]]&lt;&gt;"","305102","")</f>
        <v/>
      </c>
      <c r="W27" s="214" t="str">
        <f>IF(AND(SandBHQP[[#This Row],[FTE %]]&gt;0,SandBHQP[[#This Row],[Salary &amp; Benefits]]&lt;&gt;""),ROUND(SandBHQP[[#This Row],[Salary &amp; Benefits]]*SandBHQP[[#This Row],[FTE %]]/100,2),"")</f>
        <v/>
      </c>
      <c r="Z27" s="211" t="str">
        <f>IF(Template!$AF27&lt;&gt;"","30000","")</f>
        <v/>
      </c>
      <c r="AA27" s="212" t="str">
        <f>IF(Template!$AF27&lt;&gt;"","11601","")</f>
        <v/>
      </c>
      <c r="AB27" s="212" t="str">
        <f>IF(Template!$AF27&lt;&gt;"",_xlfn.XLOOKUP(SandBHQP[[#This Row],[HQP Status]],TAccnt[Item],TAccnt[Account Code],"",0,1),"")</f>
        <v/>
      </c>
      <c r="AC27" s="212" t="str">
        <f>IF(Template!$AF27&lt;&gt;"","98001","")</f>
        <v/>
      </c>
      <c r="AD27" s="213" t="str" cm="1">
        <f t="array" ref="AD27">IF(AND(SandBHQP[[#This Row],[FTE %2]]&gt;0,SandBHQP[[#This Row],[FTE %2]]&lt;&gt;""),Indices2Class($E$8,SandBHQP[[#This Row],[Secondary 
Project ]]),"")</f>
        <v/>
      </c>
      <c r="AE27" s="212" t="str">
        <f>IF(Template!$AF27&lt;&gt;"","305102","")</f>
        <v/>
      </c>
      <c r="AF27" s="214" t="str">
        <f>IF(AND(SandBHQP[[#This Row],[FTE %2]]&gt;0,SandBHQP[[#This Row],[Salary &amp; Benefits]]&lt;&gt;""),SandBHQP[[#This Row],[Salary &amp; Benefits]]-W27,"")</f>
        <v/>
      </c>
      <c r="AH27" s="215" t="str">
        <f>IF(SandBHQP[[#This Row],[Salary &amp; Benefits]]&lt;&gt;"",IF(Template!$W27+IF(Template!$AF27&lt;&gt;"",Template!$AF27,0)=SandBHQP[[#This Row],[Salary &amp; Benefits]],TRUE,FALSE),"")</f>
        <v/>
      </c>
    </row>
    <row r="28" spans="2:34" ht="15" x14ac:dyDescent="0.2">
      <c r="B28" s="338"/>
      <c r="C28" s="147"/>
      <c r="D28" s="98"/>
      <c r="E28" s="98"/>
      <c r="F28" s="146"/>
      <c r="G28" s="102"/>
      <c r="H28" s="161"/>
      <c r="I28" s="103"/>
      <c r="J28" s="207" t="str">
        <f>IF(SandBHQP[[#This Row],[FTE %]]&gt;0,100-SandBHQP[[#This Row],[FTE %]],"")</f>
        <v/>
      </c>
      <c r="K28" s="104"/>
      <c r="Q28" s="208" t="str">
        <f>IF(SandBHQP[[#This Row],[Salary &amp; Benefits]]&lt;&gt;"","30000","")</f>
        <v/>
      </c>
      <c r="R28" s="185" t="str">
        <f>IF(SandBHQP[[#This Row],[Salary &amp; Benefits]]&lt;&gt;"","11601","")</f>
        <v/>
      </c>
      <c r="S28" s="185" t="str">
        <f>IF(SandBHQP[[#This Row],[Salary &amp; Benefits]]&lt;&gt;"",_xlfn.XLOOKUP(SandBHQP[[#This Row],[HQP Status]],TAccnt[Item],TAccnt[Account Code],"",0,1),"")</f>
        <v/>
      </c>
      <c r="T28" s="185" t="str">
        <f>IF(SandBHQP[[#This Row],[Salary &amp; Benefits]]&lt;&gt;"","98001","")</f>
        <v/>
      </c>
      <c r="U28" s="1" t="str" cm="1">
        <f t="array" ref="U28">IF(SandBHQP[[#This Row],[FTE %]]&lt;&gt;"",Indices2Class($E$8,SandBHQP[[#This Row],[Primary 
Project]]),"")</f>
        <v/>
      </c>
      <c r="V28" s="185" t="str">
        <f>IF(SandBHQP[[#This Row],[Salary &amp; Benefits]]&lt;&gt;"","305102","")</f>
        <v/>
      </c>
      <c r="W28" s="209" t="str">
        <f>IF(AND(SandBHQP[[#This Row],[FTE %]]&gt;0,SandBHQP[[#This Row],[Salary &amp; Benefits]]&lt;&gt;""),ROUND(SandBHQP[[#This Row],[Salary &amp; Benefits]]*SandBHQP[[#This Row],[FTE %]]/100,2),"")</f>
        <v/>
      </c>
      <c r="Z28" s="208" t="str">
        <f>IF(Template!$AF28&lt;&gt;"","30000","")</f>
        <v/>
      </c>
      <c r="AA28" s="185" t="str">
        <f>IF(Template!$AF28&lt;&gt;"","11601","")</f>
        <v/>
      </c>
      <c r="AB28" s="185" t="str">
        <f>IF(Template!$AF28&lt;&gt;"",_xlfn.XLOOKUP(SandBHQP[[#This Row],[HQP Status]],TAccnt[Item],TAccnt[Account Code],"",0,1),"")</f>
        <v/>
      </c>
      <c r="AC28" s="185" t="str">
        <f>IF(Template!$AF28&lt;&gt;"","98001","")</f>
        <v/>
      </c>
      <c r="AD28" s="1" t="str" cm="1">
        <f t="array" ref="AD28">IF(AND(SandBHQP[[#This Row],[FTE %2]]&gt;0,SandBHQP[[#This Row],[FTE %2]]&lt;&gt;""),Indices2Class($E$8,SandBHQP[[#This Row],[Secondary 
Project ]]),"")</f>
        <v/>
      </c>
      <c r="AE28" s="185" t="str">
        <f>IF(Template!$AF28&lt;&gt;"","305102","")</f>
        <v/>
      </c>
      <c r="AF28" s="209" t="str">
        <f>IF(AND(SandBHQP[[#This Row],[FTE %2]]&gt;0,SandBHQP[[#This Row],[Salary &amp; Benefits]]&lt;&gt;""),SandBHQP[[#This Row],[Salary &amp; Benefits]]-W28,"")</f>
        <v/>
      </c>
      <c r="AH28" s="210" t="str">
        <f>IF(SandBHQP[[#This Row],[Salary &amp; Benefits]]&lt;&gt;"",IF(Template!$W28+IF(Template!$AF28&lt;&gt;"",Template!$AF28,0)=SandBHQP[[#This Row],[Salary &amp; Benefits]],TRUE,FALSE),"")</f>
        <v/>
      </c>
    </row>
    <row r="29" spans="2:34" ht="15" x14ac:dyDescent="0.2">
      <c r="B29" s="338"/>
      <c r="C29" s="147"/>
      <c r="D29" s="98"/>
      <c r="E29" s="98"/>
      <c r="F29" s="146"/>
      <c r="G29" s="102"/>
      <c r="H29" s="161"/>
      <c r="I29" s="103"/>
      <c r="J29" s="207" t="str">
        <f>IF(SandBHQP[[#This Row],[FTE %]]&gt;0,100-SandBHQP[[#This Row],[FTE %]],"")</f>
        <v/>
      </c>
      <c r="K29" s="104"/>
      <c r="Q29" s="211" t="str">
        <f>IF(SandBHQP[[#This Row],[Salary &amp; Benefits]]&lt;&gt;"","30000","")</f>
        <v/>
      </c>
      <c r="R29" s="212" t="str">
        <f>IF(SandBHQP[[#This Row],[Salary &amp; Benefits]]&lt;&gt;"","11601","")</f>
        <v/>
      </c>
      <c r="S29" s="212" t="str">
        <f>IF(SandBHQP[[#This Row],[Salary &amp; Benefits]]&lt;&gt;"",_xlfn.XLOOKUP(SandBHQP[[#This Row],[HQP Status]],TAccnt[Item],TAccnt[Account Code],"",0,1),"")</f>
        <v/>
      </c>
      <c r="T29" s="212" t="str">
        <f>IF(SandBHQP[[#This Row],[Salary &amp; Benefits]]&lt;&gt;"","98001","")</f>
        <v/>
      </c>
      <c r="U29" s="213" t="str" cm="1">
        <f t="array" ref="U29">IF(SandBHQP[[#This Row],[FTE %]]&lt;&gt;"",Indices2Class($E$8,SandBHQP[[#This Row],[Primary 
Project]]),"")</f>
        <v/>
      </c>
      <c r="V29" s="212" t="str">
        <f>IF(SandBHQP[[#This Row],[Salary &amp; Benefits]]&lt;&gt;"","305102","")</f>
        <v/>
      </c>
      <c r="W29" s="214" t="str">
        <f>IF(AND(SandBHQP[[#This Row],[FTE %]]&gt;0,SandBHQP[[#This Row],[Salary &amp; Benefits]]&lt;&gt;""),ROUND(SandBHQP[[#This Row],[Salary &amp; Benefits]]*SandBHQP[[#This Row],[FTE %]]/100,2),"")</f>
        <v/>
      </c>
      <c r="Z29" s="211" t="str">
        <f>IF(Template!$AF29&lt;&gt;"","30000","")</f>
        <v/>
      </c>
      <c r="AA29" s="212" t="str">
        <f>IF(Template!$AF29&lt;&gt;"","11601","")</f>
        <v/>
      </c>
      <c r="AB29" s="212" t="str">
        <f>IF(Template!$AF29&lt;&gt;"",_xlfn.XLOOKUP(SandBHQP[[#This Row],[HQP Status]],TAccnt[Item],TAccnt[Account Code],"",0,1),"")</f>
        <v/>
      </c>
      <c r="AC29" s="212" t="str">
        <f>IF(Template!$AF29&lt;&gt;"","98001","")</f>
        <v/>
      </c>
      <c r="AD29" s="213" t="str" cm="1">
        <f t="array" ref="AD29">IF(AND(SandBHQP[[#This Row],[FTE %2]]&gt;0,SandBHQP[[#This Row],[FTE %2]]&lt;&gt;""),Indices2Class($E$8,SandBHQP[[#This Row],[Secondary 
Project ]]),"")</f>
        <v/>
      </c>
      <c r="AE29" s="212" t="str">
        <f>IF(Template!$AF29&lt;&gt;"","305102","")</f>
        <v/>
      </c>
      <c r="AF29" s="214" t="str">
        <f>IF(AND(SandBHQP[[#This Row],[FTE %2]]&gt;0,SandBHQP[[#This Row],[Salary &amp; Benefits]]&lt;&gt;""),SandBHQP[[#This Row],[Salary &amp; Benefits]]-W29,"")</f>
        <v/>
      </c>
      <c r="AH29" s="215" t="str">
        <f>IF(SandBHQP[[#This Row],[Salary &amp; Benefits]]&lt;&gt;"",IF(Template!$W29+IF(Template!$AF29&lt;&gt;"",Template!$AF29,0)=SandBHQP[[#This Row],[Salary &amp; Benefits]],TRUE,FALSE),"")</f>
        <v/>
      </c>
    </row>
    <row r="30" spans="2:34" ht="15" x14ac:dyDescent="0.2">
      <c r="B30" s="338"/>
      <c r="C30" s="147"/>
      <c r="D30" s="98"/>
      <c r="E30" s="98"/>
      <c r="F30" s="146"/>
      <c r="G30" s="102"/>
      <c r="H30" s="161"/>
      <c r="I30" s="103"/>
      <c r="J30" s="207" t="str">
        <f>IF(SandBHQP[[#This Row],[FTE %]]&gt;0,100-SandBHQP[[#This Row],[FTE %]],"")</f>
        <v/>
      </c>
      <c r="K30" s="104"/>
      <c r="Q30" s="208" t="str">
        <f>IF(SandBHQP[[#This Row],[Salary &amp; Benefits]]&lt;&gt;"","30000","")</f>
        <v/>
      </c>
      <c r="R30" s="185" t="str">
        <f>IF(SandBHQP[[#This Row],[Salary &amp; Benefits]]&lt;&gt;"","11601","")</f>
        <v/>
      </c>
      <c r="S30" s="185" t="str">
        <f>IF(SandBHQP[[#This Row],[Salary &amp; Benefits]]&lt;&gt;"",_xlfn.XLOOKUP(SandBHQP[[#This Row],[HQP Status]],TAccnt[Item],TAccnt[Account Code],"",0,1),"")</f>
        <v/>
      </c>
      <c r="T30" s="185" t="str">
        <f>IF(SandBHQP[[#This Row],[Salary &amp; Benefits]]&lt;&gt;"","98001","")</f>
        <v/>
      </c>
      <c r="U30" s="1" t="str" cm="1">
        <f t="array" ref="U30">IF(SandBHQP[[#This Row],[FTE %]]&lt;&gt;"",Indices2Class($E$8,SandBHQP[[#This Row],[Primary 
Project]]),"")</f>
        <v/>
      </c>
      <c r="V30" s="185" t="str">
        <f>IF(SandBHQP[[#This Row],[Salary &amp; Benefits]]&lt;&gt;"","305102","")</f>
        <v/>
      </c>
      <c r="W30" s="209" t="str">
        <f>IF(AND(SandBHQP[[#This Row],[FTE %]]&gt;0,SandBHQP[[#This Row],[Salary &amp; Benefits]]&lt;&gt;""),ROUND(SandBHQP[[#This Row],[Salary &amp; Benefits]]*SandBHQP[[#This Row],[FTE %]]/100,2),"")</f>
        <v/>
      </c>
      <c r="Z30" s="208" t="str">
        <f>IF(Template!$AF30&lt;&gt;"","30000","")</f>
        <v/>
      </c>
      <c r="AA30" s="185" t="str">
        <f>IF(Template!$AF30&lt;&gt;"","11601","")</f>
        <v/>
      </c>
      <c r="AB30" s="185" t="str">
        <f>IF(Template!$AF30&lt;&gt;"",_xlfn.XLOOKUP(SandBHQP[[#This Row],[HQP Status]],TAccnt[Item],TAccnt[Account Code],"",0,1),"")</f>
        <v/>
      </c>
      <c r="AC30" s="185" t="str">
        <f>IF(Template!$AF30&lt;&gt;"","98001","")</f>
        <v/>
      </c>
      <c r="AD30" s="1" t="str" cm="1">
        <f t="array" ref="AD30">IF(AND(SandBHQP[[#This Row],[FTE %2]]&gt;0,SandBHQP[[#This Row],[FTE %2]]&lt;&gt;""),Indices2Class($E$8,SandBHQP[[#This Row],[Secondary 
Project ]]),"")</f>
        <v/>
      </c>
      <c r="AE30" s="185" t="str">
        <f>IF(Template!$AF30&lt;&gt;"","305102","")</f>
        <v/>
      </c>
      <c r="AF30" s="209" t="str">
        <f>IF(AND(SandBHQP[[#This Row],[FTE %2]]&gt;0,SandBHQP[[#This Row],[Salary &amp; Benefits]]&lt;&gt;""),SandBHQP[[#This Row],[Salary &amp; Benefits]]-W30,"")</f>
        <v/>
      </c>
      <c r="AH30" s="210" t="str">
        <f>IF(SandBHQP[[#This Row],[Salary &amp; Benefits]]&lt;&gt;"",IF(Template!$W30+IF(Template!$AF30&lt;&gt;"",Template!$AF30,0)=SandBHQP[[#This Row],[Salary &amp; Benefits]],TRUE,FALSE),"")</f>
        <v/>
      </c>
    </row>
    <row r="31" spans="2:34" ht="15" x14ac:dyDescent="0.2">
      <c r="B31" s="338"/>
      <c r="C31" s="147"/>
      <c r="D31" s="98"/>
      <c r="E31" s="98"/>
      <c r="F31" s="146"/>
      <c r="G31" s="102"/>
      <c r="H31" s="161"/>
      <c r="I31" s="103"/>
      <c r="J31" s="207" t="str">
        <f>IF(SandBHQP[[#This Row],[FTE %]]&gt;0,100-SandBHQP[[#This Row],[FTE %]],"")</f>
        <v/>
      </c>
      <c r="K31" s="104"/>
      <c r="Q31" s="211" t="str">
        <f>IF(SandBHQP[[#This Row],[Salary &amp; Benefits]]&lt;&gt;"","30000","")</f>
        <v/>
      </c>
      <c r="R31" s="212" t="str">
        <f>IF(SandBHQP[[#This Row],[Salary &amp; Benefits]]&lt;&gt;"","11601","")</f>
        <v/>
      </c>
      <c r="S31" s="212" t="str">
        <f>IF(SandBHQP[[#This Row],[Salary &amp; Benefits]]&lt;&gt;"",_xlfn.XLOOKUP(SandBHQP[[#This Row],[HQP Status]],TAccnt[Item],TAccnt[Account Code],"",0,1),"")</f>
        <v/>
      </c>
      <c r="T31" s="212" t="str">
        <f>IF(SandBHQP[[#This Row],[Salary &amp; Benefits]]&lt;&gt;"","98001","")</f>
        <v/>
      </c>
      <c r="U31" s="213" t="str" cm="1">
        <f t="array" ref="U31">IF(SandBHQP[[#This Row],[FTE %]]&lt;&gt;"",Indices2Class($E$8,SandBHQP[[#This Row],[Primary 
Project]]),"")</f>
        <v/>
      </c>
      <c r="V31" s="212" t="str">
        <f>IF(SandBHQP[[#This Row],[Salary &amp; Benefits]]&lt;&gt;"","305102","")</f>
        <v/>
      </c>
      <c r="W31" s="214" t="str">
        <f>IF(AND(SandBHQP[[#This Row],[FTE %]]&gt;0,SandBHQP[[#This Row],[Salary &amp; Benefits]]&lt;&gt;""),ROUND(SandBHQP[[#This Row],[Salary &amp; Benefits]]*SandBHQP[[#This Row],[FTE %]]/100,2),"")</f>
        <v/>
      </c>
      <c r="Z31" s="211" t="str">
        <f>IF(Template!$AF31&lt;&gt;"","30000","")</f>
        <v/>
      </c>
      <c r="AA31" s="212" t="str">
        <f>IF(Template!$AF31&lt;&gt;"","11601","")</f>
        <v/>
      </c>
      <c r="AB31" s="212" t="str">
        <f>IF(Template!$AF31&lt;&gt;"",_xlfn.XLOOKUP(SandBHQP[[#This Row],[HQP Status]],TAccnt[Item],TAccnt[Account Code],"",0,1),"")</f>
        <v/>
      </c>
      <c r="AC31" s="212" t="str">
        <f>IF(Template!$AF31&lt;&gt;"","98001","")</f>
        <v/>
      </c>
      <c r="AD31" s="213" t="str" cm="1">
        <f t="array" ref="AD31">IF(AND(SandBHQP[[#This Row],[FTE %2]]&gt;0,SandBHQP[[#This Row],[FTE %2]]&lt;&gt;""),Indices2Class($E$8,SandBHQP[[#This Row],[Secondary 
Project ]]),"")</f>
        <v/>
      </c>
      <c r="AE31" s="212" t="str">
        <f>IF(Template!$AF31&lt;&gt;"","305102","")</f>
        <v/>
      </c>
      <c r="AF31" s="214" t="str">
        <f>IF(AND(SandBHQP[[#This Row],[FTE %2]]&gt;0,SandBHQP[[#This Row],[Salary &amp; Benefits]]&lt;&gt;""),SandBHQP[[#This Row],[Salary &amp; Benefits]]-W31,"")</f>
        <v/>
      </c>
      <c r="AH31" s="215" t="str">
        <f>IF(SandBHQP[[#This Row],[Salary &amp; Benefits]]&lt;&gt;"",IF(Template!$W31+IF(Template!$AF31&lt;&gt;"",Template!$AF31,0)=SandBHQP[[#This Row],[Salary &amp; Benefits]],TRUE,FALSE),"")</f>
        <v/>
      </c>
    </row>
    <row r="32" spans="2:34" ht="15" x14ac:dyDescent="0.2">
      <c r="B32" s="338"/>
      <c r="C32" s="147"/>
      <c r="D32" s="98"/>
      <c r="E32" s="98"/>
      <c r="F32" s="146"/>
      <c r="G32" s="102"/>
      <c r="H32" s="161"/>
      <c r="I32" s="103"/>
      <c r="J32" s="207" t="str">
        <f>IF(SandBHQP[[#This Row],[FTE %]]&gt;0,100-SandBHQP[[#This Row],[FTE %]],"")</f>
        <v/>
      </c>
      <c r="K32" s="104"/>
      <c r="Q32" s="208" t="str">
        <f>IF(SandBHQP[[#This Row],[Salary &amp; Benefits]]&lt;&gt;"","30000","")</f>
        <v/>
      </c>
      <c r="R32" s="185" t="str">
        <f>IF(SandBHQP[[#This Row],[Salary &amp; Benefits]]&lt;&gt;"","11601","")</f>
        <v/>
      </c>
      <c r="S32" s="185" t="str">
        <f>IF(SandBHQP[[#This Row],[Salary &amp; Benefits]]&lt;&gt;"",_xlfn.XLOOKUP(SandBHQP[[#This Row],[HQP Status]],TAccnt[Item],TAccnt[Account Code],"",0,1),"")</f>
        <v/>
      </c>
      <c r="T32" s="185" t="str">
        <f>IF(SandBHQP[[#This Row],[Salary &amp; Benefits]]&lt;&gt;"","98001","")</f>
        <v/>
      </c>
      <c r="U32" s="1" t="str" cm="1">
        <f t="array" ref="U32">IF(SandBHQP[[#This Row],[FTE %]]&lt;&gt;"",Indices2Class($E$8,SandBHQP[[#This Row],[Primary 
Project]]),"")</f>
        <v/>
      </c>
      <c r="V32" s="185" t="str">
        <f>IF(SandBHQP[[#This Row],[Salary &amp; Benefits]]&lt;&gt;"","305102","")</f>
        <v/>
      </c>
      <c r="W32" s="209" t="str">
        <f>IF(AND(SandBHQP[[#This Row],[FTE %]]&gt;0,SandBHQP[[#This Row],[Salary &amp; Benefits]]&lt;&gt;""),ROUND(SandBHQP[[#This Row],[Salary &amp; Benefits]]*SandBHQP[[#This Row],[FTE %]]/100,2),"")</f>
        <v/>
      </c>
      <c r="Z32" s="208" t="str">
        <f>IF(Template!$AF32&lt;&gt;"","30000","")</f>
        <v/>
      </c>
      <c r="AA32" s="185" t="str">
        <f>IF(Template!$AF32&lt;&gt;"","11601","")</f>
        <v/>
      </c>
      <c r="AB32" s="185" t="str">
        <f>IF(Template!$AF32&lt;&gt;"",_xlfn.XLOOKUP(SandBHQP[[#This Row],[HQP Status]],TAccnt[Item],TAccnt[Account Code],"",0,1),"")</f>
        <v/>
      </c>
      <c r="AC32" s="185" t="str">
        <f>IF(Template!$AF32&lt;&gt;"","98001","")</f>
        <v/>
      </c>
      <c r="AD32" s="1" t="str" cm="1">
        <f t="array" ref="AD32">IF(AND(SandBHQP[[#This Row],[FTE %2]]&gt;0,SandBHQP[[#This Row],[FTE %2]]&lt;&gt;""),Indices2Class($E$8,SandBHQP[[#This Row],[Secondary 
Project ]]),"")</f>
        <v/>
      </c>
      <c r="AE32" s="185" t="str">
        <f>IF(Template!$AF32&lt;&gt;"","305102","")</f>
        <v/>
      </c>
      <c r="AF32" s="209" t="str">
        <f>IF(AND(SandBHQP[[#This Row],[FTE %2]]&gt;0,SandBHQP[[#This Row],[Salary &amp; Benefits]]&lt;&gt;""),SandBHQP[[#This Row],[Salary &amp; Benefits]]-W32,"")</f>
        <v/>
      </c>
      <c r="AH32" s="210" t="str">
        <f>IF(SandBHQP[[#This Row],[Salary &amp; Benefits]]&lt;&gt;"",IF(Template!$W32+IF(Template!$AF32&lt;&gt;"",Template!$AF32,0)=SandBHQP[[#This Row],[Salary &amp; Benefits]],TRUE,FALSE),"")</f>
        <v/>
      </c>
    </row>
    <row r="33" spans="2:34" ht="15" x14ac:dyDescent="0.2">
      <c r="B33" s="338"/>
      <c r="C33" s="147"/>
      <c r="D33" s="98"/>
      <c r="E33" s="98"/>
      <c r="F33" s="146"/>
      <c r="G33" s="102"/>
      <c r="H33" s="161"/>
      <c r="I33" s="103"/>
      <c r="J33" s="207" t="str">
        <f>IF(SandBHQP[[#This Row],[FTE %]]&gt;0,100-SandBHQP[[#This Row],[FTE %]],"")</f>
        <v/>
      </c>
      <c r="K33" s="104"/>
      <c r="Q33" s="211" t="str">
        <f>IF(SandBHQP[[#This Row],[Salary &amp; Benefits]]&lt;&gt;"","30000","")</f>
        <v/>
      </c>
      <c r="R33" s="212" t="str">
        <f>IF(SandBHQP[[#This Row],[Salary &amp; Benefits]]&lt;&gt;"","11601","")</f>
        <v/>
      </c>
      <c r="S33" s="212" t="str">
        <f>IF(SandBHQP[[#This Row],[Salary &amp; Benefits]]&lt;&gt;"",_xlfn.XLOOKUP(SandBHQP[[#This Row],[HQP Status]],TAccnt[Item],TAccnt[Account Code],"",0,1),"")</f>
        <v/>
      </c>
      <c r="T33" s="212" t="str">
        <f>IF(SandBHQP[[#This Row],[Salary &amp; Benefits]]&lt;&gt;"","98001","")</f>
        <v/>
      </c>
      <c r="U33" s="213" t="str" cm="1">
        <f t="array" ref="U33">IF(SandBHQP[[#This Row],[FTE %]]&lt;&gt;"",Indices2Class($E$8,SandBHQP[[#This Row],[Primary 
Project]]),"")</f>
        <v/>
      </c>
      <c r="V33" s="212" t="str">
        <f>IF(SandBHQP[[#This Row],[Salary &amp; Benefits]]&lt;&gt;"","305102","")</f>
        <v/>
      </c>
      <c r="W33" s="214" t="str">
        <f>IF(AND(SandBHQP[[#This Row],[FTE %]]&gt;0,SandBHQP[[#This Row],[Salary &amp; Benefits]]&lt;&gt;""),ROUND(SandBHQP[[#This Row],[Salary &amp; Benefits]]*SandBHQP[[#This Row],[FTE %]]/100,2),"")</f>
        <v/>
      </c>
      <c r="Z33" s="211" t="str">
        <f>IF(Template!$AF33&lt;&gt;"","30000","")</f>
        <v/>
      </c>
      <c r="AA33" s="212" t="str">
        <f>IF(Template!$AF33&lt;&gt;"","11601","")</f>
        <v/>
      </c>
      <c r="AB33" s="212" t="str">
        <f>IF(Template!$AF33&lt;&gt;"",_xlfn.XLOOKUP(SandBHQP[[#This Row],[HQP Status]],TAccnt[Item],TAccnt[Account Code],"",0,1),"")</f>
        <v/>
      </c>
      <c r="AC33" s="212" t="str">
        <f>IF(Template!$AF33&lt;&gt;"","98001","")</f>
        <v/>
      </c>
      <c r="AD33" s="213" t="str" cm="1">
        <f t="array" ref="AD33">IF(AND(SandBHQP[[#This Row],[FTE %2]]&gt;0,SandBHQP[[#This Row],[FTE %2]]&lt;&gt;""),Indices2Class($E$8,SandBHQP[[#This Row],[Secondary 
Project ]]),"")</f>
        <v/>
      </c>
      <c r="AE33" s="212" t="str">
        <f>IF(Template!$AF33&lt;&gt;"","305102","")</f>
        <v/>
      </c>
      <c r="AF33" s="214" t="str">
        <f>IF(AND(SandBHQP[[#This Row],[FTE %2]]&gt;0,SandBHQP[[#This Row],[Salary &amp; Benefits]]&lt;&gt;""),SandBHQP[[#This Row],[Salary &amp; Benefits]]-W33,"")</f>
        <v/>
      </c>
      <c r="AH33" s="215" t="str">
        <f>IF(SandBHQP[[#This Row],[Salary &amp; Benefits]]&lt;&gt;"",IF(Template!$W33+IF(Template!$AF33&lt;&gt;"",Template!$AF33,0)=SandBHQP[[#This Row],[Salary &amp; Benefits]],TRUE,FALSE),"")</f>
        <v/>
      </c>
    </row>
    <row r="34" spans="2:34" ht="15" x14ac:dyDescent="0.2">
      <c r="B34" s="338"/>
      <c r="C34" s="147"/>
      <c r="D34" s="98"/>
      <c r="E34" s="98"/>
      <c r="F34" s="146"/>
      <c r="G34" s="102"/>
      <c r="H34" s="161"/>
      <c r="I34" s="103"/>
      <c r="J34" s="207" t="str">
        <f>IF(SandBHQP[[#This Row],[FTE %]]&gt;0,100-SandBHQP[[#This Row],[FTE %]],"")</f>
        <v/>
      </c>
      <c r="K34" s="104"/>
      <c r="Q34" s="208" t="str">
        <f>IF(SandBHQP[[#This Row],[Salary &amp; Benefits]]&lt;&gt;"","30000","")</f>
        <v/>
      </c>
      <c r="R34" s="185" t="str">
        <f>IF(SandBHQP[[#This Row],[Salary &amp; Benefits]]&lt;&gt;"","11601","")</f>
        <v/>
      </c>
      <c r="S34" s="185" t="str">
        <f>IF(SandBHQP[[#This Row],[Salary &amp; Benefits]]&lt;&gt;"",_xlfn.XLOOKUP(SandBHQP[[#This Row],[HQP Status]],TAccnt[Item],TAccnt[Account Code],"",0,1),"")</f>
        <v/>
      </c>
      <c r="T34" s="185" t="str">
        <f>IF(SandBHQP[[#This Row],[Salary &amp; Benefits]]&lt;&gt;"","98001","")</f>
        <v/>
      </c>
      <c r="U34" s="1" t="str" cm="1">
        <f t="array" ref="U34">IF(SandBHQP[[#This Row],[FTE %]]&lt;&gt;"",Indices2Class($E$8,SandBHQP[[#This Row],[Primary 
Project]]),"")</f>
        <v/>
      </c>
      <c r="V34" s="185" t="str">
        <f>IF(SandBHQP[[#This Row],[Salary &amp; Benefits]]&lt;&gt;"","305102","")</f>
        <v/>
      </c>
      <c r="W34" s="209" t="str">
        <f>IF(AND(SandBHQP[[#This Row],[FTE %]]&gt;0,SandBHQP[[#This Row],[Salary &amp; Benefits]]&lt;&gt;""),ROUND(SandBHQP[[#This Row],[Salary &amp; Benefits]]*SandBHQP[[#This Row],[FTE %]]/100,2),"")</f>
        <v/>
      </c>
      <c r="Z34" s="208" t="str">
        <f>IF(Template!$AF34&lt;&gt;"","30000","")</f>
        <v/>
      </c>
      <c r="AA34" s="185" t="str">
        <f>IF(Template!$AF34&lt;&gt;"","11601","")</f>
        <v/>
      </c>
      <c r="AB34" s="185" t="str">
        <f>IF(Template!$AF34&lt;&gt;"",_xlfn.XLOOKUP(SandBHQP[[#This Row],[HQP Status]],TAccnt[Item],TAccnt[Account Code],"",0,1),"")</f>
        <v/>
      </c>
      <c r="AC34" s="185" t="str">
        <f>IF(Template!$AF34&lt;&gt;"","98001","")</f>
        <v/>
      </c>
      <c r="AD34" s="1" t="str" cm="1">
        <f t="array" ref="AD34">IF(AND(SandBHQP[[#This Row],[FTE %2]]&gt;0,SandBHQP[[#This Row],[FTE %2]]&lt;&gt;""),Indices2Class($E$8,SandBHQP[[#This Row],[Secondary 
Project ]]),"")</f>
        <v/>
      </c>
      <c r="AE34" s="185" t="str">
        <f>IF(Template!$AF34&lt;&gt;"","305102","")</f>
        <v/>
      </c>
      <c r="AF34" s="209" t="str">
        <f>IF(AND(SandBHQP[[#This Row],[FTE %2]]&gt;0,SandBHQP[[#This Row],[Salary &amp; Benefits]]&lt;&gt;""),SandBHQP[[#This Row],[Salary &amp; Benefits]]-W34,"")</f>
        <v/>
      </c>
      <c r="AH34" s="210" t="str">
        <f>IF(SandBHQP[[#This Row],[Salary &amp; Benefits]]&lt;&gt;"",IF(Template!$W34+IF(Template!$AF34&lt;&gt;"",Template!$AF34,0)=SandBHQP[[#This Row],[Salary &amp; Benefits]],TRUE,FALSE),"")</f>
        <v/>
      </c>
    </row>
    <row r="35" spans="2:34" ht="15" x14ac:dyDescent="0.2">
      <c r="B35" s="338"/>
      <c r="C35" s="147"/>
      <c r="D35" s="98"/>
      <c r="E35" s="98"/>
      <c r="F35" s="146"/>
      <c r="G35" s="102"/>
      <c r="H35" s="161"/>
      <c r="I35" s="103"/>
      <c r="J35" s="207" t="str">
        <f>IF(SandBHQP[[#This Row],[FTE %]]&gt;0,100-SandBHQP[[#This Row],[FTE %]],"")</f>
        <v/>
      </c>
      <c r="K35" s="104"/>
      <c r="Q35" s="211" t="str">
        <f>IF(SandBHQP[[#This Row],[Salary &amp; Benefits]]&lt;&gt;"","30000","")</f>
        <v/>
      </c>
      <c r="R35" s="212" t="str">
        <f>IF(SandBHQP[[#This Row],[Salary &amp; Benefits]]&lt;&gt;"","11601","")</f>
        <v/>
      </c>
      <c r="S35" s="212" t="str">
        <f>IF(SandBHQP[[#This Row],[Salary &amp; Benefits]]&lt;&gt;"",_xlfn.XLOOKUP(SandBHQP[[#This Row],[HQP Status]],TAccnt[Item],TAccnt[Account Code],"",0,1),"")</f>
        <v/>
      </c>
      <c r="T35" s="212" t="str">
        <f>IF(SandBHQP[[#This Row],[Salary &amp; Benefits]]&lt;&gt;"","98001","")</f>
        <v/>
      </c>
      <c r="U35" s="213" t="str" cm="1">
        <f t="array" ref="U35">IF(SandBHQP[[#This Row],[FTE %]]&lt;&gt;"",Indices2Class($E$8,SandBHQP[[#This Row],[Primary 
Project]]),"")</f>
        <v/>
      </c>
      <c r="V35" s="212" t="str">
        <f>IF(SandBHQP[[#This Row],[Salary &amp; Benefits]]&lt;&gt;"","305102","")</f>
        <v/>
      </c>
      <c r="W35" s="214" t="str">
        <f>IF(AND(SandBHQP[[#This Row],[FTE %]]&gt;0,SandBHQP[[#This Row],[Salary &amp; Benefits]]&lt;&gt;""),ROUND(SandBHQP[[#This Row],[Salary &amp; Benefits]]*SandBHQP[[#This Row],[FTE %]]/100,2),"")</f>
        <v/>
      </c>
      <c r="Z35" s="211" t="str">
        <f>IF(Template!$AF35&lt;&gt;"","30000","")</f>
        <v/>
      </c>
      <c r="AA35" s="212" t="str">
        <f>IF(Template!$AF35&lt;&gt;"","11601","")</f>
        <v/>
      </c>
      <c r="AB35" s="212" t="str">
        <f>IF(Template!$AF35&lt;&gt;"",_xlfn.XLOOKUP(SandBHQP[[#This Row],[HQP Status]],TAccnt[Item],TAccnt[Account Code],"",0,1),"")</f>
        <v/>
      </c>
      <c r="AC35" s="212" t="str">
        <f>IF(Template!$AF35&lt;&gt;"","98001","")</f>
        <v/>
      </c>
      <c r="AD35" s="213" t="str" cm="1">
        <f t="array" ref="AD35">IF(AND(SandBHQP[[#This Row],[FTE %2]]&gt;0,SandBHQP[[#This Row],[FTE %2]]&lt;&gt;""),Indices2Class($E$8,SandBHQP[[#This Row],[Secondary 
Project ]]),"")</f>
        <v/>
      </c>
      <c r="AE35" s="212" t="str">
        <f>IF(Template!$AF35&lt;&gt;"","305102","")</f>
        <v/>
      </c>
      <c r="AF35" s="214" t="str">
        <f>IF(AND(SandBHQP[[#This Row],[FTE %2]]&gt;0,SandBHQP[[#This Row],[Salary &amp; Benefits]]&lt;&gt;""),SandBHQP[[#This Row],[Salary &amp; Benefits]]-W35,"")</f>
        <v/>
      </c>
      <c r="AH35" s="215" t="str">
        <f>IF(SandBHQP[[#This Row],[Salary &amp; Benefits]]&lt;&gt;"",IF(Template!$W35+IF(Template!$AF35&lt;&gt;"",Template!$AF35,0)=SandBHQP[[#This Row],[Salary &amp; Benefits]],TRUE,FALSE),"")</f>
        <v/>
      </c>
    </row>
    <row r="36" spans="2:34" ht="15" x14ac:dyDescent="0.2">
      <c r="B36" s="338"/>
      <c r="C36" s="147"/>
      <c r="D36" s="98"/>
      <c r="E36" s="98"/>
      <c r="F36" s="146"/>
      <c r="G36" s="102"/>
      <c r="H36" s="161"/>
      <c r="I36" s="103"/>
      <c r="J36" s="207" t="str">
        <f>IF(SandBHQP[[#This Row],[FTE %]]&gt;0,100-SandBHQP[[#This Row],[FTE %]],"")</f>
        <v/>
      </c>
      <c r="K36" s="104"/>
      <c r="Q36" s="208" t="str">
        <f>IF(SandBHQP[[#This Row],[Salary &amp; Benefits]]&lt;&gt;"","30000","")</f>
        <v/>
      </c>
      <c r="R36" s="185" t="str">
        <f>IF(SandBHQP[[#This Row],[Salary &amp; Benefits]]&lt;&gt;"","11601","")</f>
        <v/>
      </c>
      <c r="S36" s="185" t="str">
        <f>IF(SandBHQP[[#This Row],[Salary &amp; Benefits]]&lt;&gt;"",_xlfn.XLOOKUP(SandBHQP[[#This Row],[HQP Status]],TAccnt[Item],TAccnt[Account Code],"",0,1),"")</f>
        <v/>
      </c>
      <c r="T36" s="185" t="str">
        <f>IF(SandBHQP[[#This Row],[Salary &amp; Benefits]]&lt;&gt;"","98001","")</f>
        <v/>
      </c>
      <c r="U36" s="1" t="str" cm="1">
        <f t="array" ref="U36">IF(SandBHQP[[#This Row],[FTE %]]&lt;&gt;"",Indices2Class($E$8,SandBHQP[[#This Row],[Primary 
Project]]),"")</f>
        <v/>
      </c>
      <c r="V36" s="185" t="str">
        <f>IF(SandBHQP[[#This Row],[Salary &amp; Benefits]]&lt;&gt;"","305102","")</f>
        <v/>
      </c>
      <c r="W36" s="209" t="str">
        <f>IF(AND(SandBHQP[[#This Row],[FTE %]]&gt;0,SandBHQP[[#This Row],[Salary &amp; Benefits]]&lt;&gt;""),ROUND(SandBHQP[[#This Row],[Salary &amp; Benefits]]*SandBHQP[[#This Row],[FTE %]]/100,2),"")</f>
        <v/>
      </c>
      <c r="Z36" s="208" t="str">
        <f>IF(Template!$AF36&lt;&gt;"","30000","")</f>
        <v/>
      </c>
      <c r="AA36" s="185" t="str">
        <f>IF(Template!$AF36&lt;&gt;"","11601","")</f>
        <v/>
      </c>
      <c r="AB36" s="185" t="str">
        <f>IF(Template!$AF36&lt;&gt;"",_xlfn.XLOOKUP(SandBHQP[[#This Row],[HQP Status]],TAccnt[Item],TAccnt[Account Code],"",0,1),"")</f>
        <v/>
      </c>
      <c r="AC36" s="185" t="str">
        <f>IF(Template!$AF36&lt;&gt;"","98001","")</f>
        <v/>
      </c>
      <c r="AD36" s="1" t="str" cm="1">
        <f t="array" ref="AD36">IF(AND(SandBHQP[[#This Row],[FTE %2]]&gt;0,SandBHQP[[#This Row],[FTE %2]]&lt;&gt;""),Indices2Class($E$8,SandBHQP[[#This Row],[Secondary 
Project ]]),"")</f>
        <v/>
      </c>
      <c r="AE36" s="185" t="str">
        <f>IF(Template!$AF36&lt;&gt;"","305102","")</f>
        <v/>
      </c>
      <c r="AF36" s="209" t="str">
        <f>IF(AND(SandBHQP[[#This Row],[FTE %2]]&gt;0,SandBHQP[[#This Row],[Salary &amp; Benefits]]&lt;&gt;""),SandBHQP[[#This Row],[Salary &amp; Benefits]]-W36,"")</f>
        <v/>
      </c>
      <c r="AH36" s="210" t="str">
        <f>IF(SandBHQP[[#This Row],[Salary &amp; Benefits]]&lt;&gt;"",IF(Template!$W36+IF(Template!$AF36&lt;&gt;"",Template!$AF36,0)=SandBHQP[[#This Row],[Salary &amp; Benefits]],TRUE,FALSE),"")</f>
        <v/>
      </c>
    </row>
    <row r="37" spans="2:34" ht="16" thickBot="1" x14ac:dyDescent="0.25">
      <c r="B37" s="339"/>
      <c r="C37" s="314" t="s">
        <v>183</v>
      </c>
      <c r="D37" s="315"/>
      <c r="E37" s="315"/>
      <c r="F37" s="316"/>
      <c r="G37" s="317"/>
      <c r="H37" s="318"/>
      <c r="I37" s="319"/>
      <c r="J37" s="216" t="str">
        <f>IF(SandBHQP[[#This Row],[FTE %]]&gt;0,100-SandBHQP[[#This Row],[FTE %]],"")</f>
        <v/>
      </c>
      <c r="K37" s="320"/>
      <c r="Q37" s="217" t="str">
        <f>IF(SandBHQP[[#This Row],[Salary &amp; Benefits]]&lt;&gt;"","30000","")</f>
        <v/>
      </c>
      <c r="R37" s="218" t="str">
        <f>IF(SandBHQP[[#This Row],[Salary &amp; Benefits]]&lt;&gt;"","11601","")</f>
        <v/>
      </c>
      <c r="S37" s="218" t="str">
        <f>IF(SandBHQP[[#This Row],[Salary &amp; Benefits]]&lt;&gt;"",_xlfn.XLOOKUP(SandBHQP[[#This Row],[HQP Status]],TAccnt[Item],TAccnt[Account Code],"",0,1),"")</f>
        <v/>
      </c>
      <c r="T37" s="218" t="str">
        <f>IF(SandBHQP[[#This Row],[Salary &amp; Benefits]]&lt;&gt;"","98001","")</f>
        <v/>
      </c>
      <c r="U37" s="219" t="str" cm="1">
        <f t="array" ref="U37">IF(SandBHQP[[#This Row],[FTE %]]&lt;&gt;"",Indices2Class($E$8,SandBHQP[[#This Row],[Primary 
Project]]),"")</f>
        <v/>
      </c>
      <c r="V37" s="218" t="str">
        <f>IF(SandBHQP[[#This Row],[Salary &amp; Benefits]]&lt;&gt;"","305102","")</f>
        <v/>
      </c>
      <c r="W37" s="220" t="str">
        <f>IF(AND(SandBHQP[[#This Row],[FTE %]]&gt;0,SandBHQP[[#This Row],[Salary &amp; Benefits]]&lt;&gt;""),ROUND(SandBHQP[[#This Row],[Salary &amp; Benefits]]*SandBHQP[[#This Row],[FTE %]]/100,2),"")</f>
        <v/>
      </c>
      <c r="Z37" s="217" t="str">
        <f>IF(Template!$AF37&lt;&gt;"","30000","")</f>
        <v/>
      </c>
      <c r="AA37" s="218" t="str">
        <f>IF(Template!$AF37&lt;&gt;"","11601","")</f>
        <v/>
      </c>
      <c r="AB37" s="218" t="str">
        <f>IF(Template!$AF37&lt;&gt;"",_xlfn.XLOOKUP(SandBHQP[[#This Row],[HQP Status]],TAccnt[Item],TAccnt[Account Code],"",0,1),"")</f>
        <v/>
      </c>
      <c r="AC37" s="218" t="str">
        <f>IF(Template!$AF37&lt;&gt;"","98001","")</f>
        <v/>
      </c>
      <c r="AD37" s="219" t="str" cm="1">
        <f t="array" ref="AD37">IF(AND(SandBHQP[[#This Row],[FTE %2]]&gt;0,SandBHQP[[#This Row],[FTE %2]]&lt;&gt;""),Indices2Class($E$8,SandBHQP[[#This Row],[Secondary 
Project ]]),"")</f>
        <v/>
      </c>
      <c r="AE37" s="218" t="str">
        <f>IF(Template!$AF37&lt;&gt;"","305102","")</f>
        <v/>
      </c>
      <c r="AF37" s="220" t="str">
        <f>IF(AND(SandBHQP[[#This Row],[FTE %2]]&gt;0,SandBHQP[[#This Row],[Salary &amp; Benefits]]&lt;&gt;""),SandBHQP[[#This Row],[Salary &amp; Benefits]]-W37,"")</f>
        <v/>
      </c>
      <c r="AH37" s="221" t="str">
        <f>IF(SandBHQP[[#This Row],[Salary &amp; Benefits]]&lt;&gt;"",IF(Template!$W37+IF(Template!$AF37&lt;&gt;"",Template!$AF37,0)=SandBHQP[[#This Row],[Salary &amp; Benefits]],TRUE,FALSE),"")</f>
        <v/>
      </c>
    </row>
    <row r="38" spans="2:34" ht="16" thickTop="1" x14ac:dyDescent="0.2">
      <c r="B38" s="222"/>
      <c r="C38" s="189"/>
      <c r="D38" s="189"/>
      <c r="E38" s="189"/>
      <c r="F38" s="189"/>
      <c r="G38" s="190"/>
      <c r="H38" s="190"/>
      <c r="I38" s="223"/>
      <c r="W38" s="224"/>
    </row>
    <row r="39" spans="2:34" ht="16" thickBot="1" x14ac:dyDescent="0.25">
      <c r="B39" s="1"/>
      <c r="C39" s="193"/>
      <c r="D39" s="189"/>
      <c r="E39" s="189"/>
      <c r="F39" s="189"/>
      <c r="G39" s="190"/>
      <c r="H39" s="190"/>
      <c r="I39" s="190"/>
      <c r="W39" s="224"/>
    </row>
    <row r="40" spans="2:34" s="196" customFormat="1" ht="18" customHeight="1" thickBot="1" x14ac:dyDescent="0.2">
      <c r="B40" s="192"/>
      <c r="D40" s="193"/>
      <c r="E40" s="193"/>
      <c r="F40" s="194"/>
      <c r="G40" s="340" t="s">
        <v>164</v>
      </c>
      <c r="H40" s="341"/>
      <c r="I40" s="341"/>
      <c r="J40" s="341"/>
      <c r="K40" s="342"/>
      <c r="W40" s="225"/>
      <c r="Z40" s="365"/>
      <c r="AA40" s="365"/>
      <c r="AB40" s="365"/>
      <c r="AC40" s="365"/>
      <c r="AD40" s="365"/>
      <c r="AE40" s="365"/>
      <c r="AF40" s="365"/>
    </row>
    <row r="41" spans="2:34" s="196" customFormat="1" ht="28" customHeight="1" thickTop="1" thickBot="1" x14ac:dyDescent="0.2">
      <c r="B41" s="337" t="s">
        <v>184</v>
      </c>
      <c r="C41" s="226" t="s">
        <v>168</v>
      </c>
      <c r="D41" s="227" t="s">
        <v>169</v>
      </c>
      <c r="E41" s="228" t="s">
        <v>185</v>
      </c>
      <c r="F41" s="229" t="s">
        <v>171</v>
      </c>
      <c r="G41" s="230" t="s">
        <v>172</v>
      </c>
      <c r="H41" s="294" t="s">
        <v>173</v>
      </c>
      <c r="I41" s="173" t="s">
        <v>174</v>
      </c>
      <c r="J41" s="294" t="s">
        <v>175</v>
      </c>
      <c r="K41" s="231" t="s">
        <v>77</v>
      </c>
      <c r="Q41" s="197" t="s">
        <v>176</v>
      </c>
      <c r="R41" s="198" t="s">
        <v>177</v>
      </c>
      <c r="S41" s="198" t="s">
        <v>178</v>
      </c>
      <c r="T41" s="198" t="s">
        <v>179</v>
      </c>
      <c r="U41" s="198" t="s">
        <v>180</v>
      </c>
      <c r="V41" s="198" t="s">
        <v>7</v>
      </c>
      <c r="W41" s="199" t="s">
        <v>181</v>
      </c>
      <c r="Z41" s="197" t="s">
        <v>176</v>
      </c>
      <c r="AA41" s="198" t="s">
        <v>177</v>
      </c>
      <c r="AB41" s="198" t="s">
        <v>178</v>
      </c>
      <c r="AC41" s="198" t="s">
        <v>179</v>
      </c>
      <c r="AD41" s="198" t="s">
        <v>180</v>
      </c>
      <c r="AE41" s="198" t="s">
        <v>7</v>
      </c>
      <c r="AF41" s="199" t="s">
        <v>181</v>
      </c>
      <c r="AH41" s="200" t="s">
        <v>182</v>
      </c>
    </row>
    <row r="42" spans="2:34" ht="16" thickTop="1" x14ac:dyDescent="0.2">
      <c r="B42" s="338"/>
      <c r="C42" s="157"/>
      <c r="D42" s="149"/>
      <c r="E42" s="149"/>
      <c r="F42" s="150"/>
      <c r="G42" s="151"/>
      <c r="H42" s="291"/>
      <c r="I42" s="152"/>
      <c r="J42" s="232" t="str">
        <f>IF(SandBTech[[#This Row],[FTE %]]&gt;0,100-SandBTech[[#This Row],[FTE %]],"")</f>
        <v/>
      </c>
      <c r="K42" s="153"/>
      <c r="Q42" s="202" t="str">
        <f>IF(SandBTech[[#This Row],[Salary &amp; Benefits]]&lt;&gt;"","30000","")</f>
        <v/>
      </c>
      <c r="R42" s="203" t="str">
        <f>IF(SandBTech[[#This Row],[Salary &amp; Benefits]]&lt;&gt;"","11601","")</f>
        <v/>
      </c>
      <c r="S42" s="203" t="str">
        <f>IF(SandBTech[[#This Row],[Salary &amp; Benefits]]&lt;&gt;"",_xlfn.XLOOKUP(SandBTech[[#This Row],[Role]],TAccnt[Item],TAccnt[Account Code],"",0,1),"")</f>
        <v/>
      </c>
      <c r="T42" s="203" t="str">
        <f>IF(SandBTech[[#This Row],[Salary &amp; Benefits]]&lt;&gt;"","98001","")</f>
        <v/>
      </c>
      <c r="U42" s="204" t="str" cm="1">
        <f t="array" ref="U42">IF(SandBTech[[#This Row],[FTE %]]&lt;&gt;"",Indices2Class($E$8,SandBTech[[#This Row],[Primary 
Project]]),"")</f>
        <v/>
      </c>
      <c r="V42" s="203" t="str">
        <f>IF(SandBTech[[#This Row],[Salary &amp; Benefits]]&lt;&gt;"","305102","")</f>
        <v/>
      </c>
      <c r="W42" s="205" t="str">
        <f>IF(AND(SandBTech[[#This Row],[FTE %]]&gt;0,SandBTech[[#This Row],[Salary &amp; Benefits]]&lt;&gt;""),ROUND(SandBTech[[#This Row],[Salary &amp; Benefits]]*SandBTech[[#This Row],[FTE %]]/100,2),"")</f>
        <v/>
      </c>
      <c r="Z42" s="202" t="str">
        <f>IF(Template!$AF42&lt;&gt;"","30000","")</f>
        <v/>
      </c>
      <c r="AA42" s="203" t="str">
        <f>IF(Template!$AF42&lt;&gt;"","11601","")</f>
        <v/>
      </c>
      <c r="AB42" s="203" t="str">
        <f>IF(Template!$AF42&lt;&gt;"",_xlfn.XLOOKUP(SandBTech[[#This Row],[Role]],TAccnt[Item],TAccnt[Account Code],"",0,1),"")</f>
        <v/>
      </c>
      <c r="AC42" s="203" t="str">
        <f>IF(Template!$AF42&lt;&gt;"","98001","")</f>
        <v/>
      </c>
      <c r="AD42" s="204" t="str" cm="1">
        <f t="array" ref="AD42">IF(AND(SandBTech[[#This Row],[FTE %2]]&gt;0,SandBTech[[#This Row],[FTE %2]]&lt;&gt;""),Indices2Class($E$8,SandBTech[[#This Row],[Secondary 
Project ]]),"")</f>
        <v/>
      </c>
      <c r="AE42" s="203" t="str">
        <f>IF(Template!$AF42&lt;&gt;"","305102","")</f>
        <v/>
      </c>
      <c r="AF42" s="205" t="str">
        <f>IF(AND(SandBTech[[#This Row],[FTE %2]]&gt;0,SandBTech[[#This Row],[Salary &amp; Benefits]]&lt;&gt;""),SandBTech[[#This Row],[Salary &amp; Benefits]]-W42,"")</f>
        <v/>
      </c>
      <c r="AH42" s="206" t="str">
        <f>IF(SandBTech[[#This Row],[Salary &amp; Benefits]]&lt;&gt;"",IF(Template!$W42+IF(Template!$AF42&lt;&gt;"",Template!$AF42,0)=SandBTech[[#This Row],[Salary &amp; Benefits]],TRUE,FALSE),"")</f>
        <v/>
      </c>
    </row>
    <row r="43" spans="2:34" ht="15" x14ac:dyDescent="0.2">
      <c r="B43" s="338"/>
      <c r="C43" s="158"/>
      <c r="D43" s="154"/>
      <c r="E43" s="154"/>
      <c r="F43" s="148"/>
      <c r="G43" s="155"/>
      <c r="H43" s="161"/>
      <c r="I43" s="156"/>
      <c r="J43" s="233" t="str">
        <f>IF(SandBTech[[#This Row],[FTE %]]&gt;0,100-SandBTech[[#This Row],[FTE %]],"")</f>
        <v/>
      </c>
      <c r="K43" s="105"/>
      <c r="Q43" s="208" t="str">
        <f>IF(SandBTech[[#This Row],[Salary &amp; Benefits]]&lt;&gt;"","30000","")</f>
        <v/>
      </c>
      <c r="R43" s="185" t="str">
        <f>IF(SandBTech[[#This Row],[Salary &amp; Benefits]]&lt;&gt;"","11601","")</f>
        <v/>
      </c>
      <c r="S43" s="185" t="str">
        <f>IF(SandBTech[[#This Row],[Salary &amp; Benefits]]&lt;&gt;"",_xlfn.XLOOKUP(SandBTech[[#This Row],[Role]],TAccnt[Item],TAccnt[Account Code],"",0,1),"")</f>
        <v/>
      </c>
      <c r="T43" s="185" t="str">
        <f>IF(SandBTech[[#This Row],[Salary &amp; Benefits]]&lt;&gt;"","98001","")</f>
        <v/>
      </c>
      <c r="U43" s="1" t="str" cm="1">
        <f t="array" ref="U43">IF(SandBTech[[#This Row],[FTE %]]&lt;&gt;"",Indices2Class($E$8,SandBTech[[#This Row],[Primary 
Project]]),"")</f>
        <v/>
      </c>
      <c r="V43" s="185" t="str">
        <f>IF(SandBTech[[#This Row],[Salary &amp; Benefits]]&lt;&gt;"","305102","")</f>
        <v/>
      </c>
      <c r="W43" s="209" t="str">
        <f>IF(AND(SandBTech[[#This Row],[FTE %]]&gt;0,SandBTech[[#This Row],[Salary &amp; Benefits]]&lt;&gt;""),ROUND(SandBTech[[#This Row],[Salary &amp; Benefits]]*SandBTech[[#This Row],[FTE %]]/100,2),"")</f>
        <v/>
      </c>
      <c r="Z43" s="208" t="str">
        <f>IF(Template!$AF43&lt;&gt;"","30000","")</f>
        <v/>
      </c>
      <c r="AA43" s="185" t="str">
        <f>IF(Template!$AF43&lt;&gt;"","11601","")</f>
        <v/>
      </c>
      <c r="AB43" s="185" t="str">
        <f>IF(Template!$AF43&lt;&gt;"",_xlfn.XLOOKUP(SandBTech[[#This Row],[Role]],TAccnt[Item],TAccnt[Account Code],"",0,1),"")</f>
        <v/>
      </c>
      <c r="AC43" s="185" t="str">
        <f>IF(Template!$AF43&lt;&gt;"","98001","")</f>
        <v/>
      </c>
      <c r="AD43" s="1" t="str" cm="1">
        <f t="array" ref="AD43">IF(AND(SandBTech[[#This Row],[FTE %2]]&gt;0,SandBTech[[#This Row],[FTE %2]]&lt;&gt;""),Indices2Class($E$8,SandBTech[[#This Row],[Secondary 
Project ]]),"")</f>
        <v/>
      </c>
      <c r="AE43" s="185" t="str">
        <f>IF(Template!$AF43&lt;&gt;"","305102","")</f>
        <v/>
      </c>
      <c r="AF43" s="209" t="str">
        <f>IF(AND(SandBTech[[#This Row],[FTE %2]]&gt;0,SandBTech[[#This Row],[Salary &amp; Benefits]]&lt;&gt;""),SandBTech[[#This Row],[Salary &amp; Benefits]]-W43,"")</f>
        <v/>
      </c>
      <c r="AH43" s="210" t="str">
        <f>IF(SandBTech[[#This Row],[Salary &amp; Benefits]]&lt;&gt;"",IF(Template!$W43+IF(Template!$AF43&lt;&gt;"",Template!$AF43,0)=SandBTech[[#This Row],[Salary &amp; Benefits]],TRUE,FALSE),"")</f>
        <v/>
      </c>
    </row>
    <row r="44" spans="2:34" ht="15" x14ac:dyDescent="0.2">
      <c r="B44" s="338"/>
      <c r="C44" s="158"/>
      <c r="D44" s="154"/>
      <c r="E44" s="154"/>
      <c r="F44" s="148"/>
      <c r="G44" s="155"/>
      <c r="H44" s="161"/>
      <c r="I44" s="156"/>
      <c r="J44" s="233" t="str">
        <f>IF(SandBTech[[#This Row],[FTE %]]&gt;0,100-SandBTech[[#This Row],[FTE %]],"")</f>
        <v/>
      </c>
      <c r="K44" s="105"/>
      <c r="Q44" s="211" t="str">
        <f>IF(SandBTech[[#This Row],[Salary &amp; Benefits]]&lt;&gt;"","30000","")</f>
        <v/>
      </c>
      <c r="R44" s="212" t="str">
        <f>IF(SandBTech[[#This Row],[Salary &amp; Benefits]]&lt;&gt;"","11601","")</f>
        <v/>
      </c>
      <c r="S44" s="212" t="str">
        <f>IF(SandBTech[[#This Row],[Salary &amp; Benefits]]&lt;&gt;"",_xlfn.XLOOKUP(SandBTech[[#This Row],[Role]],TAccnt[Item],TAccnt[Account Code],"",0,1),"")</f>
        <v/>
      </c>
      <c r="T44" s="212" t="str">
        <f>IF(SandBTech[[#This Row],[Salary &amp; Benefits]]&lt;&gt;"","98001","")</f>
        <v/>
      </c>
      <c r="U44" s="213" t="str" cm="1">
        <f t="array" ref="U44">IF(SandBTech[[#This Row],[FTE %]]&lt;&gt;"",Indices2Class($E$8,SandBTech[[#This Row],[Primary 
Project]]),"")</f>
        <v/>
      </c>
      <c r="V44" s="212" t="str">
        <f>IF(SandBTech[[#This Row],[Salary &amp; Benefits]]&lt;&gt;"","305102","")</f>
        <v/>
      </c>
      <c r="W44" s="214" t="str">
        <f>IF(AND(SandBTech[[#This Row],[FTE %]]&gt;0,SandBTech[[#This Row],[Salary &amp; Benefits]]&lt;&gt;""),ROUND(SandBTech[[#This Row],[Salary &amp; Benefits]]*SandBTech[[#This Row],[FTE %]]/100,2),"")</f>
        <v/>
      </c>
      <c r="Z44" s="211" t="str">
        <f>IF(Template!$AF44&lt;&gt;"","30000","")</f>
        <v/>
      </c>
      <c r="AA44" s="212" t="str">
        <f>IF(Template!$AF44&lt;&gt;"","11601","")</f>
        <v/>
      </c>
      <c r="AB44" s="212" t="str">
        <f>IF(Template!$AF44&lt;&gt;"",_xlfn.XLOOKUP(SandBTech[[#This Row],[Role]],TAccnt[Item],TAccnt[Account Code],"",0,1),"")</f>
        <v/>
      </c>
      <c r="AC44" s="212" t="str">
        <f>IF(Template!$AF44&lt;&gt;"","98001","")</f>
        <v/>
      </c>
      <c r="AD44" s="213" t="str" cm="1">
        <f t="array" ref="AD44">IF(AND(SandBTech[[#This Row],[FTE %2]]&gt;0,SandBTech[[#This Row],[FTE %2]]&lt;&gt;""),Indices2Class($E$8,SandBTech[[#This Row],[Secondary 
Project ]]),"")</f>
        <v/>
      </c>
      <c r="AE44" s="212" t="str">
        <f>IF(Template!$AF44&lt;&gt;"","305102","")</f>
        <v/>
      </c>
      <c r="AF44" s="214" t="str">
        <f>IF(AND(SandBTech[[#This Row],[FTE %2]]&gt;0,SandBTech[[#This Row],[Salary &amp; Benefits]]&lt;&gt;""),SandBTech[[#This Row],[Salary &amp; Benefits]]-W44,"")</f>
        <v/>
      </c>
      <c r="AH44" s="215" t="str">
        <f>IF(SandBTech[[#This Row],[Salary &amp; Benefits]]&lt;&gt;"",IF(Template!$W44+IF(Template!$AF44&lt;&gt;"",Template!$AF44,0)=SandBTech[[#This Row],[Salary &amp; Benefits]],TRUE,FALSE),"")</f>
        <v/>
      </c>
    </row>
    <row r="45" spans="2:34" ht="15" x14ac:dyDescent="0.2">
      <c r="B45" s="338"/>
      <c r="C45" s="158"/>
      <c r="D45" s="154"/>
      <c r="E45" s="154"/>
      <c r="F45" s="148"/>
      <c r="G45" s="155"/>
      <c r="H45" s="161"/>
      <c r="I45" s="156"/>
      <c r="J45" s="233" t="str">
        <f>IF(SandBTech[[#This Row],[FTE %]]&gt;0,100-SandBTech[[#This Row],[FTE %]],"")</f>
        <v/>
      </c>
      <c r="K45" s="105"/>
      <c r="Q45" s="208" t="str">
        <f>IF(SandBTech[[#This Row],[Salary &amp; Benefits]]&lt;&gt;"","30000","")</f>
        <v/>
      </c>
      <c r="R45" s="185" t="str">
        <f>IF(SandBTech[[#This Row],[Salary &amp; Benefits]]&lt;&gt;"","11601","")</f>
        <v/>
      </c>
      <c r="S45" s="185" t="str">
        <f>IF(SandBTech[[#This Row],[Salary &amp; Benefits]]&lt;&gt;"",_xlfn.XLOOKUP(SandBTech[[#This Row],[Role]],TAccnt[Item],TAccnt[Account Code],"",0,1),"")</f>
        <v/>
      </c>
      <c r="T45" s="185" t="str">
        <f>IF(SandBTech[[#This Row],[Salary &amp; Benefits]]&lt;&gt;"","98001","")</f>
        <v/>
      </c>
      <c r="U45" s="1" t="str" cm="1">
        <f t="array" ref="U45">IF(SandBTech[[#This Row],[FTE %]]&lt;&gt;"",Indices2Class($E$8,SandBTech[[#This Row],[Primary 
Project]]),"")</f>
        <v/>
      </c>
      <c r="V45" s="185" t="str">
        <f>IF(SandBTech[[#This Row],[Salary &amp; Benefits]]&lt;&gt;"","305102","")</f>
        <v/>
      </c>
      <c r="W45" s="209" t="str">
        <f>IF(AND(SandBTech[[#This Row],[FTE %]]&gt;0,SandBTech[[#This Row],[Salary &amp; Benefits]]&lt;&gt;""),ROUND(SandBTech[[#This Row],[Salary &amp; Benefits]]*SandBTech[[#This Row],[FTE %]]/100,2),"")</f>
        <v/>
      </c>
      <c r="Z45" s="208" t="str">
        <f>IF(Template!$AF45&lt;&gt;"","30000","")</f>
        <v/>
      </c>
      <c r="AA45" s="185" t="str">
        <f>IF(Template!$AF45&lt;&gt;"","11601","")</f>
        <v/>
      </c>
      <c r="AB45" s="185" t="str">
        <f>IF(Template!$AF45&lt;&gt;"",_xlfn.XLOOKUP(SandBTech[[#This Row],[Role]],TAccnt[Item],TAccnt[Account Code],"",0,1),"")</f>
        <v/>
      </c>
      <c r="AC45" s="185" t="str">
        <f>IF(Template!$AF45&lt;&gt;"","98001","")</f>
        <v/>
      </c>
      <c r="AD45" s="1" t="str" cm="1">
        <f t="array" ref="AD45">IF(AND(SandBTech[[#This Row],[FTE %2]]&gt;0,SandBTech[[#This Row],[FTE %2]]&lt;&gt;""),Indices2Class($E$8,SandBTech[[#This Row],[Secondary 
Project ]]),"")</f>
        <v/>
      </c>
      <c r="AE45" s="185" t="str">
        <f>IF(Template!$AF45&lt;&gt;"","305102","")</f>
        <v/>
      </c>
      <c r="AF45" s="209" t="str">
        <f>IF(AND(SandBTech[[#This Row],[FTE %2]]&gt;0,SandBTech[[#This Row],[Salary &amp; Benefits]]&lt;&gt;""),SandBTech[[#This Row],[Salary &amp; Benefits]]-W45,"")</f>
        <v/>
      </c>
      <c r="AH45" s="210" t="str">
        <f>IF(SandBTech[[#This Row],[Salary &amp; Benefits]]&lt;&gt;"",IF(Template!$W45+IF(Template!$AF45&lt;&gt;"",Template!$AF45,0)=SandBTech[[#This Row],[Salary &amp; Benefits]],TRUE,FALSE),"")</f>
        <v/>
      </c>
    </row>
    <row r="46" spans="2:34" ht="15" x14ac:dyDescent="0.2">
      <c r="B46" s="338"/>
      <c r="C46" s="158"/>
      <c r="D46" s="154"/>
      <c r="E46" s="154"/>
      <c r="F46" s="148"/>
      <c r="G46" s="155"/>
      <c r="H46" s="161"/>
      <c r="I46" s="156"/>
      <c r="J46" s="233" t="str">
        <f>IF(SandBTech[[#This Row],[FTE %]]&gt;0,100-SandBTech[[#This Row],[FTE %]],"")</f>
        <v/>
      </c>
      <c r="K46" s="105"/>
      <c r="Q46" s="211" t="str">
        <f>IF(SandBTech[[#This Row],[Salary &amp; Benefits]]&lt;&gt;"","30000","")</f>
        <v/>
      </c>
      <c r="R46" s="212" t="str">
        <f>IF(SandBTech[[#This Row],[Salary &amp; Benefits]]&lt;&gt;"","11601","")</f>
        <v/>
      </c>
      <c r="S46" s="212" t="str">
        <f>IF(SandBTech[[#This Row],[Salary &amp; Benefits]]&lt;&gt;"",_xlfn.XLOOKUP(SandBTech[[#This Row],[Role]],TAccnt[Item],TAccnt[Account Code],"",0,1),"")</f>
        <v/>
      </c>
      <c r="T46" s="212" t="str">
        <f>IF(SandBTech[[#This Row],[Salary &amp; Benefits]]&lt;&gt;"","98001","")</f>
        <v/>
      </c>
      <c r="U46" s="213" t="str" cm="1">
        <f t="array" ref="U46">IF(SandBTech[[#This Row],[FTE %]]&lt;&gt;"",Indices2Class($E$8,SandBTech[[#This Row],[Primary 
Project]]),"")</f>
        <v/>
      </c>
      <c r="V46" s="212" t="str">
        <f>IF(SandBTech[[#This Row],[Salary &amp; Benefits]]&lt;&gt;"","305102","")</f>
        <v/>
      </c>
      <c r="W46" s="214" t="str">
        <f>IF(AND(SandBTech[[#This Row],[FTE %]]&gt;0,SandBTech[[#This Row],[Salary &amp; Benefits]]&lt;&gt;""),ROUND(SandBTech[[#This Row],[Salary &amp; Benefits]]*SandBTech[[#This Row],[FTE %]]/100,2),"")</f>
        <v/>
      </c>
      <c r="Z46" s="211" t="str">
        <f>IF(Template!$AF46&lt;&gt;"","30000","")</f>
        <v/>
      </c>
      <c r="AA46" s="212" t="str">
        <f>IF(Template!$AF46&lt;&gt;"","11601","")</f>
        <v/>
      </c>
      <c r="AB46" s="212" t="str">
        <f>IF(Template!$AF46&lt;&gt;"",_xlfn.XLOOKUP(SandBTech[[#This Row],[Role]],TAccnt[Item],TAccnt[Account Code],"",0,1),"")</f>
        <v/>
      </c>
      <c r="AC46" s="212" t="str">
        <f>IF(Template!$AF46&lt;&gt;"","98001","")</f>
        <v/>
      </c>
      <c r="AD46" s="213" t="str" cm="1">
        <f t="array" ref="AD46">IF(AND(SandBTech[[#This Row],[FTE %2]]&gt;0,SandBTech[[#This Row],[FTE %2]]&lt;&gt;""),Indices2Class($E$8,SandBTech[[#This Row],[Secondary 
Project ]]),"")</f>
        <v/>
      </c>
      <c r="AE46" s="212" t="str">
        <f>IF(Template!$AF46&lt;&gt;"","305102","")</f>
        <v/>
      </c>
      <c r="AF46" s="214" t="str">
        <f>IF(AND(SandBTech[[#This Row],[FTE %2]]&gt;0,SandBTech[[#This Row],[Salary &amp; Benefits]]&lt;&gt;""),SandBTech[[#This Row],[Salary &amp; Benefits]]-W46,"")</f>
        <v/>
      </c>
      <c r="AH46" s="215" t="str">
        <f>IF(SandBTech[[#This Row],[Salary &amp; Benefits]]&lt;&gt;"",IF(Template!$W46+IF(Template!$AF46&lt;&gt;"",Template!$AF46,0)=SandBTech[[#This Row],[Salary &amp; Benefits]],TRUE,FALSE),"")</f>
        <v/>
      </c>
    </row>
    <row r="47" spans="2:34" ht="15" x14ac:dyDescent="0.2">
      <c r="B47" s="338"/>
      <c r="C47" s="158"/>
      <c r="D47" s="154"/>
      <c r="E47" s="154"/>
      <c r="F47" s="148"/>
      <c r="G47" s="155"/>
      <c r="H47" s="161"/>
      <c r="I47" s="156"/>
      <c r="J47" s="233" t="str">
        <f>IF(SandBTech[[#This Row],[FTE %]]&gt;0,100-SandBTech[[#This Row],[FTE %]],"")</f>
        <v/>
      </c>
      <c r="K47" s="105"/>
      <c r="Q47" s="208" t="str">
        <f>IF(SandBTech[[#This Row],[Salary &amp; Benefits]]&lt;&gt;"","30000","")</f>
        <v/>
      </c>
      <c r="R47" s="185" t="str">
        <f>IF(SandBTech[[#This Row],[Salary &amp; Benefits]]&lt;&gt;"","11601","")</f>
        <v/>
      </c>
      <c r="S47" s="185" t="str">
        <f>IF(SandBTech[[#This Row],[Salary &amp; Benefits]]&lt;&gt;"",_xlfn.XLOOKUP(SandBTech[[#This Row],[Role]],TAccnt[Item],TAccnt[Account Code],"",0,1),"")</f>
        <v/>
      </c>
      <c r="T47" s="185" t="str">
        <f>IF(SandBTech[[#This Row],[Salary &amp; Benefits]]&lt;&gt;"","98001","")</f>
        <v/>
      </c>
      <c r="U47" s="1" t="str" cm="1">
        <f t="array" ref="U47">IF(SandBTech[[#This Row],[FTE %]]&lt;&gt;"",Indices2Class($E$8,SandBTech[[#This Row],[Primary 
Project]]),"")</f>
        <v/>
      </c>
      <c r="V47" s="185" t="str">
        <f>IF(SandBTech[[#This Row],[Salary &amp; Benefits]]&lt;&gt;"","305102","")</f>
        <v/>
      </c>
      <c r="W47" s="209" t="str">
        <f>IF(AND(SandBTech[[#This Row],[FTE %]]&gt;0,SandBTech[[#This Row],[Salary &amp; Benefits]]&lt;&gt;""),ROUND(SandBTech[[#This Row],[Salary &amp; Benefits]]*SandBTech[[#This Row],[FTE %]]/100,2),"")</f>
        <v/>
      </c>
      <c r="Z47" s="208" t="str">
        <f>IF(Template!$AF47&lt;&gt;"","30000","")</f>
        <v/>
      </c>
      <c r="AA47" s="185" t="str">
        <f>IF(Template!$AF47&lt;&gt;"","11601","")</f>
        <v/>
      </c>
      <c r="AB47" s="185" t="str">
        <f>IF(Template!$AF47&lt;&gt;"",_xlfn.XLOOKUP(SandBTech[[#This Row],[Role]],TAccnt[Item],TAccnt[Account Code],"",0,1),"")</f>
        <v/>
      </c>
      <c r="AC47" s="185" t="str">
        <f>IF(Template!$AF47&lt;&gt;"","98001","")</f>
        <v/>
      </c>
      <c r="AD47" s="1" t="str" cm="1">
        <f t="array" ref="AD47">IF(AND(SandBTech[[#This Row],[FTE %2]]&gt;0,SandBTech[[#This Row],[FTE %2]]&lt;&gt;""),Indices2Class($E$8,SandBTech[[#This Row],[Secondary 
Project ]]),"")</f>
        <v/>
      </c>
      <c r="AE47" s="185" t="str">
        <f>IF(Template!$AF47&lt;&gt;"","305102","")</f>
        <v/>
      </c>
      <c r="AF47" s="209" t="str">
        <f>IF(AND(SandBTech[[#This Row],[FTE %2]]&gt;0,SandBTech[[#This Row],[Salary &amp; Benefits]]&lt;&gt;""),SandBTech[[#This Row],[Salary &amp; Benefits]]-W47,"")</f>
        <v/>
      </c>
      <c r="AH47" s="210" t="str">
        <f>IF(SandBTech[[#This Row],[Salary &amp; Benefits]]&lt;&gt;"",IF(Template!$W47+IF(Template!$AF47&lt;&gt;"",Template!$AF47,0)=SandBTech[[#This Row],[Salary &amp; Benefits]],TRUE,FALSE),"")</f>
        <v/>
      </c>
    </row>
    <row r="48" spans="2:34" ht="15" x14ac:dyDescent="0.2">
      <c r="B48" s="338"/>
      <c r="C48" s="158"/>
      <c r="D48" s="154"/>
      <c r="E48" s="154"/>
      <c r="F48" s="148"/>
      <c r="G48" s="155"/>
      <c r="H48" s="161"/>
      <c r="I48" s="156"/>
      <c r="J48" s="233" t="str">
        <f>IF(SandBTech[[#This Row],[FTE %]]&gt;0,100-SandBTech[[#This Row],[FTE %]],"")</f>
        <v/>
      </c>
      <c r="K48" s="105"/>
      <c r="Q48" s="211" t="str">
        <f>IF(SandBTech[[#This Row],[Salary &amp; Benefits]]&lt;&gt;"","30000","")</f>
        <v/>
      </c>
      <c r="R48" s="212" t="str">
        <f>IF(SandBTech[[#This Row],[Salary &amp; Benefits]]&lt;&gt;"","11601","")</f>
        <v/>
      </c>
      <c r="S48" s="212" t="str">
        <f>IF(SandBTech[[#This Row],[Salary &amp; Benefits]]&lt;&gt;"",_xlfn.XLOOKUP(SandBTech[[#This Row],[Role]],TAccnt[Item],TAccnt[Account Code],"",0,1),"")</f>
        <v/>
      </c>
      <c r="T48" s="212" t="str">
        <f>IF(SandBTech[[#This Row],[Salary &amp; Benefits]]&lt;&gt;"","98001","")</f>
        <v/>
      </c>
      <c r="U48" s="213" t="str" cm="1">
        <f t="array" ref="U48">IF(SandBTech[[#This Row],[FTE %]]&lt;&gt;"",Indices2Class($E$8,SandBTech[[#This Row],[Primary 
Project]]),"")</f>
        <v/>
      </c>
      <c r="V48" s="212" t="str">
        <f>IF(SandBTech[[#This Row],[Salary &amp; Benefits]]&lt;&gt;"","305102","")</f>
        <v/>
      </c>
      <c r="W48" s="214" t="str">
        <f>IF(AND(SandBTech[[#This Row],[FTE %]]&gt;0,SandBTech[[#This Row],[Salary &amp; Benefits]]&lt;&gt;""),ROUND(SandBTech[[#This Row],[Salary &amp; Benefits]]*SandBTech[[#This Row],[FTE %]]/100,2),"")</f>
        <v/>
      </c>
      <c r="Z48" s="211" t="str">
        <f>IF(Template!$AF48&lt;&gt;"","30000","")</f>
        <v/>
      </c>
      <c r="AA48" s="212" t="str">
        <f>IF(Template!$AF48&lt;&gt;"","11601","")</f>
        <v/>
      </c>
      <c r="AB48" s="212" t="str">
        <f>IF(Template!$AF48&lt;&gt;"",_xlfn.XLOOKUP(SandBTech[[#This Row],[Role]],TAccnt[Item],TAccnt[Account Code],"",0,1),"")</f>
        <v/>
      </c>
      <c r="AC48" s="212" t="str">
        <f>IF(Template!$AF48&lt;&gt;"","98001","")</f>
        <v/>
      </c>
      <c r="AD48" s="213" t="str" cm="1">
        <f t="array" ref="AD48">IF(AND(SandBTech[[#This Row],[FTE %2]]&gt;0,SandBTech[[#This Row],[FTE %2]]&lt;&gt;""),Indices2Class($E$8,SandBTech[[#This Row],[Secondary 
Project ]]),"")</f>
        <v/>
      </c>
      <c r="AE48" s="212" t="str">
        <f>IF(Template!$AF48&lt;&gt;"","305102","")</f>
        <v/>
      </c>
      <c r="AF48" s="214" t="str">
        <f>IF(AND(SandBTech[[#This Row],[FTE %2]]&gt;0,SandBTech[[#This Row],[Salary &amp; Benefits]]&lt;&gt;""),SandBTech[[#This Row],[Salary &amp; Benefits]]-W48,"")</f>
        <v/>
      </c>
      <c r="AH48" s="215" t="str">
        <f>IF(SandBTech[[#This Row],[Salary &amp; Benefits]]&lt;&gt;"",IF(Template!$W48+IF(Template!$AF48&lt;&gt;"",Template!$AF48,0)=SandBTech[[#This Row],[Salary &amp; Benefits]],TRUE,FALSE),"")</f>
        <v/>
      </c>
    </row>
    <row r="49" spans="2:34" ht="15" x14ac:dyDescent="0.2">
      <c r="B49" s="338"/>
      <c r="C49" s="158"/>
      <c r="D49" s="154"/>
      <c r="E49" s="154"/>
      <c r="F49" s="148"/>
      <c r="G49" s="155"/>
      <c r="H49" s="161"/>
      <c r="I49" s="156"/>
      <c r="J49" s="233" t="str">
        <f>IF(SandBTech[[#This Row],[FTE %]]&gt;0,100-SandBTech[[#This Row],[FTE %]],"")</f>
        <v/>
      </c>
      <c r="K49" s="105"/>
      <c r="Q49" s="208" t="str">
        <f>IF(SandBTech[[#This Row],[Salary &amp; Benefits]]&lt;&gt;"","30000","")</f>
        <v/>
      </c>
      <c r="R49" s="185" t="str">
        <f>IF(SandBTech[[#This Row],[Salary &amp; Benefits]]&lt;&gt;"","11601","")</f>
        <v/>
      </c>
      <c r="S49" s="185" t="str">
        <f>IF(SandBTech[[#This Row],[Salary &amp; Benefits]]&lt;&gt;"",_xlfn.XLOOKUP(SandBTech[[#This Row],[Role]],TAccnt[Item],TAccnt[Account Code],"",0,1),"")</f>
        <v/>
      </c>
      <c r="T49" s="185" t="str">
        <f>IF(SandBTech[[#This Row],[Salary &amp; Benefits]]&lt;&gt;"","98001","")</f>
        <v/>
      </c>
      <c r="U49" s="1" t="str" cm="1">
        <f t="array" ref="U49">IF(SandBTech[[#This Row],[FTE %]]&lt;&gt;"",Indices2Class($E$8,SandBTech[[#This Row],[Primary 
Project]]),"")</f>
        <v/>
      </c>
      <c r="V49" s="185" t="str">
        <f>IF(SandBTech[[#This Row],[Salary &amp; Benefits]]&lt;&gt;"","305102","")</f>
        <v/>
      </c>
      <c r="W49" s="209" t="str">
        <f>IF(AND(SandBTech[[#This Row],[FTE %]]&gt;0,SandBTech[[#This Row],[Salary &amp; Benefits]]&lt;&gt;""),ROUND(SandBTech[[#This Row],[Salary &amp; Benefits]]*SandBTech[[#This Row],[FTE %]]/100,2),"")</f>
        <v/>
      </c>
      <c r="Z49" s="208" t="str">
        <f>IF(Template!$AF49&lt;&gt;"","30000","")</f>
        <v/>
      </c>
      <c r="AA49" s="185" t="str">
        <f>IF(Template!$AF49&lt;&gt;"","11601","")</f>
        <v/>
      </c>
      <c r="AB49" s="185" t="str">
        <f>IF(Template!$AF49&lt;&gt;"",_xlfn.XLOOKUP(SandBTech[[#This Row],[Role]],TAccnt[Item],TAccnt[Account Code],"",0,1),"")</f>
        <v/>
      </c>
      <c r="AC49" s="185" t="str">
        <f>IF(Template!$AF49&lt;&gt;"","98001","")</f>
        <v/>
      </c>
      <c r="AD49" s="1" t="str" cm="1">
        <f t="array" ref="AD49">IF(AND(SandBTech[[#This Row],[FTE %2]]&gt;0,SandBTech[[#This Row],[FTE %2]]&lt;&gt;""),Indices2Class($E$8,SandBTech[[#This Row],[Secondary 
Project ]]),"")</f>
        <v/>
      </c>
      <c r="AE49" s="185" t="str">
        <f>IF(Template!$AF49&lt;&gt;"","305102","")</f>
        <v/>
      </c>
      <c r="AF49" s="209" t="str">
        <f>IF(AND(SandBTech[[#This Row],[FTE %2]]&gt;0,SandBTech[[#This Row],[Salary &amp; Benefits]]&lt;&gt;""),SandBTech[[#This Row],[Salary &amp; Benefits]]-W49,"")</f>
        <v/>
      </c>
      <c r="AH49" s="210" t="str">
        <f>IF(SandBTech[[#This Row],[Salary &amp; Benefits]]&lt;&gt;"",IF(Template!$W49+IF(Template!$AF49&lt;&gt;"",Template!$AF49,0)=SandBTech[[#This Row],[Salary &amp; Benefits]],TRUE,FALSE),"")</f>
        <v/>
      </c>
    </row>
    <row r="50" spans="2:34" ht="15" x14ac:dyDescent="0.2">
      <c r="B50" s="338"/>
      <c r="C50" s="158"/>
      <c r="D50" s="154"/>
      <c r="E50" s="154"/>
      <c r="F50" s="148"/>
      <c r="G50" s="155"/>
      <c r="H50" s="161"/>
      <c r="I50" s="156"/>
      <c r="J50" s="233" t="str">
        <f>IF(SandBTech[[#This Row],[FTE %]]&gt;0,100-SandBTech[[#This Row],[FTE %]],"")</f>
        <v/>
      </c>
      <c r="K50" s="105"/>
      <c r="Q50" s="211" t="str">
        <f>IF(SandBTech[[#This Row],[Salary &amp; Benefits]]&lt;&gt;"","30000","")</f>
        <v/>
      </c>
      <c r="R50" s="212" t="str">
        <f>IF(SandBTech[[#This Row],[Salary &amp; Benefits]]&lt;&gt;"","11601","")</f>
        <v/>
      </c>
      <c r="S50" s="212" t="str">
        <f>IF(SandBTech[[#This Row],[Salary &amp; Benefits]]&lt;&gt;"",_xlfn.XLOOKUP(SandBTech[[#This Row],[Role]],TAccnt[Item],TAccnt[Account Code],"",0,1),"")</f>
        <v/>
      </c>
      <c r="T50" s="212" t="str">
        <f>IF(SandBTech[[#This Row],[Salary &amp; Benefits]]&lt;&gt;"","98001","")</f>
        <v/>
      </c>
      <c r="U50" s="213" t="str" cm="1">
        <f t="array" ref="U50">IF(SandBTech[[#This Row],[FTE %]]&lt;&gt;"",Indices2Class($E$8,SandBTech[[#This Row],[Primary 
Project]]),"")</f>
        <v/>
      </c>
      <c r="V50" s="212" t="str">
        <f>IF(SandBTech[[#This Row],[Salary &amp; Benefits]]&lt;&gt;"","305102","")</f>
        <v/>
      </c>
      <c r="W50" s="214" t="str">
        <f>IF(AND(SandBTech[[#This Row],[FTE %]]&gt;0,SandBTech[[#This Row],[Salary &amp; Benefits]]&lt;&gt;""),ROUND(SandBTech[[#This Row],[Salary &amp; Benefits]]*SandBTech[[#This Row],[FTE %]]/100,2),"")</f>
        <v/>
      </c>
      <c r="Z50" s="211" t="str">
        <f>IF(Template!$AF50&lt;&gt;"","30000","")</f>
        <v/>
      </c>
      <c r="AA50" s="212" t="str">
        <f>IF(Template!$AF50&lt;&gt;"","11601","")</f>
        <v/>
      </c>
      <c r="AB50" s="212" t="str">
        <f>IF(Template!$AF50&lt;&gt;"",_xlfn.XLOOKUP(SandBTech[[#This Row],[Role]],TAccnt[Item],TAccnt[Account Code],"",0,1),"")</f>
        <v/>
      </c>
      <c r="AC50" s="212" t="str">
        <f>IF(Template!$AF50&lt;&gt;"","98001","")</f>
        <v/>
      </c>
      <c r="AD50" s="213" t="str" cm="1">
        <f t="array" ref="AD50">IF(AND(SandBTech[[#This Row],[FTE %2]]&gt;0,SandBTech[[#This Row],[FTE %2]]&lt;&gt;""),Indices2Class($E$8,SandBTech[[#This Row],[Secondary 
Project ]]),"")</f>
        <v/>
      </c>
      <c r="AE50" s="212" t="str">
        <f>IF(Template!$AF50&lt;&gt;"","305102","")</f>
        <v/>
      </c>
      <c r="AF50" s="214" t="str">
        <f>IF(AND(SandBTech[[#This Row],[FTE %2]]&gt;0,SandBTech[[#This Row],[Salary &amp; Benefits]]&lt;&gt;""),SandBTech[[#This Row],[Salary &amp; Benefits]]-W50,"")</f>
        <v/>
      </c>
      <c r="AH50" s="215" t="str">
        <f>IF(SandBTech[[#This Row],[Salary &amp; Benefits]]&lt;&gt;"",IF(Template!$W50+IF(Template!$AF50&lt;&gt;"",Template!$AF50,0)=SandBTech[[#This Row],[Salary &amp; Benefits]],TRUE,FALSE),"")</f>
        <v/>
      </c>
    </row>
    <row r="51" spans="2:34" ht="15" x14ac:dyDescent="0.2">
      <c r="B51" s="338"/>
      <c r="C51" s="158"/>
      <c r="D51" s="154"/>
      <c r="E51" s="154"/>
      <c r="F51" s="148"/>
      <c r="G51" s="155"/>
      <c r="H51" s="161"/>
      <c r="I51" s="156"/>
      <c r="J51" s="233" t="str">
        <f>IF(SandBTech[[#This Row],[FTE %]]&gt;0,100-SandBTech[[#This Row],[FTE %]],"")</f>
        <v/>
      </c>
      <c r="K51" s="105"/>
      <c r="Q51" s="208" t="str">
        <f>IF(SandBTech[[#This Row],[Salary &amp; Benefits]]&lt;&gt;"","30000","")</f>
        <v/>
      </c>
      <c r="R51" s="185" t="str">
        <f>IF(SandBTech[[#This Row],[Salary &amp; Benefits]]&lt;&gt;"","11601","")</f>
        <v/>
      </c>
      <c r="S51" s="185" t="str">
        <f>IF(SandBTech[[#This Row],[Salary &amp; Benefits]]&lt;&gt;"",_xlfn.XLOOKUP(SandBTech[[#This Row],[Role]],TAccnt[Item],TAccnt[Account Code],"",0,1),"")</f>
        <v/>
      </c>
      <c r="T51" s="185" t="str">
        <f>IF(SandBTech[[#This Row],[Salary &amp; Benefits]]&lt;&gt;"","98001","")</f>
        <v/>
      </c>
      <c r="U51" s="1" t="str" cm="1">
        <f t="array" ref="U51">IF(SandBTech[[#This Row],[FTE %]]&lt;&gt;"",Indices2Class($E$8,SandBTech[[#This Row],[Primary 
Project]]),"")</f>
        <v/>
      </c>
      <c r="V51" s="185" t="str">
        <f>IF(SandBTech[[#This Row],[Salary &amp; Benefits]]&lt;&gt;"","305102","")</f>
        <v/>
      </c>
      <c r="W51" s="209" t="str">
        <f>IF(AND(SandBTech[[#This Row],[FTE %]]&gt;0,SandBTech[[#This Row],[Salary &amp; Benefits]]&lt;&gt;""),ROUND(SandBTech[[#This Row],[Salary &amp; Benefits]]*SandBTech[[#This Row],[FTE %]]/100,2),"")</f>
        <v/>
      </c>
      <c r="Z51" s="208" t="str">
        <f>IF(Template!$AF51&lt;&gt;"","30000","")</f>
        <v/>
      </c>
      <c r="AA51" s="185" t="str">
        <f>IF(Template!$AF51&lt;&gt;"","11601","")</f>
        <v/>
      </c>
      <c r="AB51" s="185" t="str">
        <f>IF(Template!$AF51&lt;&gt;"",_xlfn.XLOOKUP(SandBTech[[#This Row],[Role]],TAccnt[Item],TAccnt[Account Code],"",0,1),"")</f>
        <v/>
      </c>
      <c r="AC51" s="185" t="str">
        <f>IF(Template!$AF51&lt;&gt;"","98001","")</f>
        <v/>
      </c>
      <c r="AD51" s="1" t="str" cm="1">
        <f t="array" ref="AD51">IF(AND(SandBTech[[#This Row],[FTE %2]]&gt;0,SandBTech[[#This Row],[FTE %2]]&lt;&gt;""),Indices2Class($E$8,SandBTech[[#This Row],[Secondary 
Project ]]),"")</f>
        <v/>
      </c>
      <c r="AE51" s="185" t="str">
        <f>IF(Template!$AF51&lt;&gt;"","305102","")</f>
        <v/>
      </c>
      <c r="AF51" s="209" t="str">
        <f>IF(AND(SandBTech[[#This Row],[FTE %2]]&gt;0,SandBTech[[#This Row],[Salary &amp; Benefits]]&lt;&gt;""),SandBTech[[#This Row],[Salary &amp; Benefits]]-W51,"")</f>
        <v/>
      </c>
      <c r="AH51" s="210" t="str">
        <f>IF(SandBTech[[#This Row],[Salary &amp; Benefits]]&lt;&gt;"",IF(Template!$W51+IF(Template!$AF51&lt;&gt;"",Template!$AF51,0)=SandBTech[[#This Row],[Salary &amp; Benefits]],TRUE,FALSE),"")</f>
        <v/>
      </c>
    </row>
    <row r="52" spans="2:34" ht="15" x14ac:dyDescent="0.2">
      <c r="B52" s="338"/>
      <c r="C52" s="158"/>
      <c r="D52" s="154"/>
      <c r="E52" s="154"/>
      <c r="F52" s="148"/>
      <c r="G52" s="155"/>
      <c r="H52" s="161"/>
      <c r="I52" s="156"/>
      <c r="J52" s="233" t="str">
        <f>IF(SandBTech[[#This Row],[FTE %]]&gt;0,100-SandBTech[[#This Row],[FTE %]],"")</f>
        <v/>
      </c>
      <c r="K52" s="105"/>
      <c r="Q52" s="211" t="str">
        <f>IF(SandBTech[[#This Row],[Salary &amp; Benefits]]&lt;&gt;"","30000","")</f>
        <v/>
      </c>
      <c r="R52" s="212" t="str">
        <f>IF(SandBTech[[#This Row],[Salary &amp; Benefits]]&lt;&gt;"","11601","")</f>
        <v/>
      </c>
      <c r="S52" s="212" t="str">
        <f>IF(SandBTech[[#This Row],[Salary &amp; Benefits]]&lt;&gt;"",_xlfn.XLOOKUP(SandBTech[[#This Row],[Role]],TAccnt[Item],TAccnt[Account Code],"",0,1),"")</f>
        <v/>
      </c>
      <c r="T52" s="212" t="str">
        <f>IF(SandBTech[[#This Row],[Salary &amp; Benefits]]&lt;&gt;"","98001","")</f>
        <v/>
      </c>
      <c r="U52" s="213" t="str" cm="1">
        <f t="array" ref="U52">IF(SandBTech[[#This Row],[FTE %]]&lt;&gt;"",Indices2Class($E$8,SandBTech[[#This Row],[Primary 
Project]]),"")</f>
        <v/>
      </c>
      <c r="V52" s="212" t="str">
        <f>IF(SandBTech[[#This Row],[Salary &amp; Benefits]]&lt;&gt;"","305102","")</f>
        <v/>
      </c>
      <c r="W52" s="214" t="str">
        <f>IF(AND(SandBTech[[#This Row],[FTE %]]&gt;0,SandBTech[[#This Row],[Salary &amp; Benefits]]&lt;&gt;""),ROUND(SandBTech[[#This Row],[Salary &amp; Benefits]]*SandBTech[[#This Row],[FTE %]]/100,2),"")</f>
        <v/>
      </c>
      <c r="Z52" s="211" t="str">
        <f>IF(Template!$AF52&lt;&gt;"","30000","")</f>
        <v/>
      </c>
      <c r="AA52" s="212" t="str">
        <f>IF(Template!$AF52&lt;&gt;"","11601","")</f>
        <v/>
      </c>
      <c r="AB52" s="212" t="str">
        <f>IF(Template!$AF52&lt;&gt;"",_xlfn.XLOOKUP(SandBTech[[#This Row],[Role]],TAccnt[Item],TAccnt[Account Code],"",0,1),"")</f>
        <v/>
      </c>
      <c r="AC52" s="212" t="str">
        <f>IF(Template!$AF52&lt;&gt;"","98001","")</f>
        <v/>
      </c>
      <c r="AD52" s="213" t="str" cm="1">
        <f t="array" ref="AD52">IF(AND(SandBTech[[#This Row],[FTE %2]]&gt;0,SandBTech[[#This Row],[FTE %2]]&lt;&gt;""),Indices2Class($E$8,SandBTech[[#This Row],[Secondary 
Project ]]),"")</f>
        <v/>
      </c>
      <c r="AE52" s="212" t="str">
        <f>IF(Template!$AF52&lt;&gt;"","305102","")</f>
        <v/>
      </c>
      <c r="AF52" s="214" t="str">
        <f>IF(AND(SandBTech[[#This Row],[FTE %2]]&gt;0,SandBTech[[#This Row],[Salary &amp; Benefits]]&lt;&gt;""),SandBTech[[#This Row],[Salary &amp; Benefits]]-W52,"")</f>
        <v/>
      </c>
      <c r="AH52" s="215" t="str">
        <f>IF(SandBTech[[#This Row],[Salary &amp; Benefits]]&lt;&gt;"",IF(Template!$W52+IF(Template!$AF52&lt;&gt;"",Template!$AF52,0)=SandBTech[[#This Row],[Salary &amp; Benefits]],TRUE,FALSE),"")</f>
        <v/>
      </c>
    </row>
    <row r="53" spans="2:34" ht="15" x14ac:dyDescent="0.2">
      <c r="B53" s="338"/>
      <c r="C53" s="158"/>
      <c r="D53" s="154"/>
      <c r="E53" s="154"/>
      <c r="F53" s="148"/>
      <c r="G53" s="155"/>
      <c r="H53" s="161"/>
      <c r="I53" s="156"/>
      <c r="J53" s="233" t="str">
        <f>IF(SandBTech[[#This Row],[FTE %]]&gt;0,100-SandBTech[[#This Row],[FTE %]],"")</f>
        <v/>
      </c>
      <c r="K53" s="105"/>
      <c r="Q53" s="208" t="str">
        <f>IF(SandBTech[[#This Row],[Salary &amp; Benefits]]&lt;&gt;"","30000","")</f>
        <v/>
      </c>
      <c r="R53" s="185" t="str">
        <f>IF(SandBTech[[#This Row],[Salary &amp; Benefits]]&lt;&gt;"","11601","")</f>
        <v/>
      </c>
      <c r="S53" s="185" t="str">
        <f>IF(SandBTech[[#This Row],[Salary &amp; Benefits]]&lt;&gt;"",_xlfn.XLOOKUP(SandBTech[[#This Row],[Role]],TAccnt[Item],TAccnt[Account Code],"",0,1),"")</f>
        <v/>
      </c>
      <c r="T53" s="185" t="str">
        <f>IF(SandBTech[[#This Row],[Salary &amp; Benefits]]&lt;&gt;"","98001","")</f>
        <v/>
      </c>
      <c r="U53" s="1" t="str" cm="1">
        <f t="array" ref="U53">IF(SandBTech[[#This Row],[FTE %]]&lt;&gt;"",Indices2Class($E$8,SandBTech[[#This Row],[Primary 
Project]]),"")</f>
        <v/>
      </c>
      <c r="V53" s="185" t="str">
        <f>IF(SandBTech[[#This Row],[Salary &amp; Benefits]]&lt;&gt;"","305102","")</f>
        <v/>
      </c>
      <c r="W53" s="209" t="str">
        <f>IF(AND(SandBTech[[#This Row],[FTE %]]&gt;0,SandBTech[[#This Row],[Salary &amp; Benefits]]&lt;&gt;""),ROUND(SandBTech[[#This Row],[Salary &amp; Benefits]]*SandBTech[[#This Row],[FTE %]]/100,2),"")</f>
        <v/>
      </c>
      <c r="Z53" s="208" t="str">
        <f>IF(Template!$AF53&lt;&gt;"","30000","")</f>
        <v/>
      </c>
      <c r="AA53" s="185" t="str">
        <f>IF(Template!$AF53&lt;&gt;"","11601","")</f>
        <v/>
      </c>
      <c r="AB53" s="185" t="str">
        <f>IF(Template!$AF53&lt;&gt;"",_xlfn.XLOOKUP(SandBTech[[#This Row],[Role]],TAccnt[Item],TAccnt[Account Code],"",0,1),"")</f>
        <v/>
      </c>
      <c r="AC53" s="185" t="str">
        <f>IF(Template!$AF53&lt;&gt;"","98001","")</f>
        <v/>
      </c>
      <c r="AD53" s="1" t="str" cm="1">
        <f t="array" ref="AD53">IF(AND(SandBTech[[#This Row],[FTE %2]]&gt;0,SandBTech[[#This Row],[FTE %2]]&lt;&gt;""),Indices2Class($E$8,SandBTech[[#This Row],[Secondary 
Project ]]),"")</f>
        <v/>
      </c>
      <c r="AE53" s="185" t="str">
        <f>IF(Template!$AF53&lt;&gt;"","305102","")</f>
        <v/>
      </c>
      <c r="AF53" s="209" t="str">
        <f>IF(AND(SandBTech[[#This Row],[FTE %2]]&gt;0,SandBTech[[#This Row],[Salary &amp; Benefits]]&lt;&gt;""),SandBTech[[#This Row],[Salary &amp; Benefits]]-W53,"")</f>
        <v/>
      </c>
      <c r="AH53" s="210" t="str">
        <f>IF(SandBTech[[#This Row],[Salary &amp; Benefits]]&lt;&gt;"",IF(Template!$W53+IF(Template!$AF53&lt;&gt;"",Template!$AF53,0)=SandBTech[[#This Row],[Salary &amp; Benefits]],TRUE,FALSE),"")</f>
        <v/>
      </c>
    </row>
    <row r="54" spans="2:34" ht="16" thickBot="1" x14ac:dyDescent="0.25">
      <c r="B54" s="339"/>
      <c r="C54" s="321" t="s">
        <v>183</v>
      </c>
      <c r="D54" s="322"/>
      <c r="E54" s="322"/>
      <c r="F54" s="323"/>
      <c r="G54" s="324"/>
      <c r="H54" s="325"/>
      <c r="I54" s="326"/>
      <c r="J54" s="234" t="str">
        <f>IF(SandBTech[[#This Row],[FTE %]]&gt;0,100-SandBTech[[#This Row],[FTE %]],"")</f>
        <v/>
      </c>
      <c r="K54" s="327"/>
      <c r="Q54" s="235" t="str">
        <f>IF(SandBTech[[#This Row],[Salary &amp; Benefits]]&lt;&gt;"","30000","")</f>
        <v/>
      </c>
      <c r="R54" s="236" t="str">
        <f>IF(SandBTech[[#This Row],[Salary &amp; Benefits]]&lt;&gt;"","11601","")</f>
        <v/>
      </c>
      <c r="S54" s="236" t="str">
        <f>IF(SandBTech[[#This Row],[Salary &amp; Benefits]]&lt;&gt;"",_xlfn.XLOOKUP(SandBTech[[#This Row],[Role]],TAccnt[Item],TAccnt[Account Code],"",0,1),"")</f>
        <v/>
      </c>
      <c r="T54" s="236" t="str">
        <f>IF(SandBTech[[#This Row],[Salary &amp; Benefits]]&lt;&gt;"","98001","")</f>
        <v/>
      </c>
      <c r="U54" s="237" t="str" cm="1">
        <f t="array" ref="U54">IF(SandBTech[[#This Row],[FTE %]]&lt;&gt;"",Indices2Class($E$8,SandBTech[[#This Row],[Primary 
Project]]),"")</f>
        <v/>
      </c>
      <c r="V54" s="236" t="str">
        <f>IF(SandBTech[[#This Row],[Salary &amp; Benefits]]&lt;&gt;"","305102","")</f>
        <v/>
      </c>
      <c r="W54" s="238" t="str">
        <f>IF(AND(SandBTech[[#This Row],[FTE %]]&gt;0,SandBTech[[#This Row],[Salary &amp; Benefits]]&lt;&gt;""),ROUND(SandBTech[[#This Row],[Salary &amp; Benefits]]*SandBTech[[#This Row],[FTE %]]/100,2),"")</f>
        <v/>
      </c>
      <c r="Z54" s="235" t="str">
        <f>IF(Template!$AF54&lt;&gt;"","30000","")</f>
        <v/>
      </c>
      <c r="AA54" s="236" t="str">
        <f>IF(Template!$AF54&lt;&gt;"","11601","")</f>
        <v/>
      </c>
      <c r="AB54" s="236" t="str">
        <f>IF(Template!$AF54&lt;&gt;"",_xlfn.XLOOKUP(SandBTech[[#This Row],[Role]],TAccnt[Item],TAccnt[Account Code],"",0,1),"")</f>
        <v/>
      </c>
      <c r="AC54" s="236" t="str">
        <f>IF(Template!$AF54&lt;&gt;"","98001","")</f>
        <v/>
      </c>
      <c r="AD54" s="237" t="str" cm="1">
        <f t="array" ref="AD54">IF(AND(SandBTech[[#This Row],[FTE %2]]&gt;0,SandBTech[[#This Row],[FTE %2]]&lt;&gt;""),Indices2Class($E$8,SandBTech[[#This Row],[Secondary 
Project ]]),"")</f>
        <v/>
      </c>
      <c r="AE54" s="236" t="str">
        <f>IF(Template!$AF54&lt;&gt;"","305102","")</f>
        <v/>
      </c>
      <c r="AF54" s="238" t="str">
        <f>IF(AND(SandBTech[[#This Row],[FTE %2]]&gt;0,SandBTech[[#This Row],[Salary &amp; Benefits]]&lt;&gt;""),SandBTech[[#This Row],[Salary &amp; Benefits]]-W54,"")</f>
        <v/>
      </c>
      <c r="AH54" s="239" t="str">
        <f>IF(SandBTech[[#This Row],[Salary &amp; Benefits]]&lt;&gt;"",IF(Template!$W54+IF(Template!$AF54&lt;&gt;"",Template!$AF54,0)=SandBTech[[#This Row],[Salary &amp; Benefits]],TRUE,FALSE),"")</f>
        <v/>
      </c>
    </row>
    <row r="55" spans="2:34" ht="16" thickTop="1" x14ac:dyDescent="0.2">
      <c r="B55" s="222"/>
      <c r="C55" s="189"/>
      <c r="D55" s="189"/>
      <c r="E55" s="189"/>
      <c r="F55" s="240"/>
      <c r="G55" s="190"/>
      <c r="H55" s="190"/>
      <c r="I55" s="223"/>
      <c r="K55" s="190"/>
      <c r="L55" s="190"/>
      <c r="M55" s="190"/>
      <c r="N55" s="190"/>
      <c r="O55" s="190"/>
      <c r="W55" s="224"/>
    </row>
    <row r="56" spans="2:34" ht="16" thickBot="1" x14ac:dyDescent="0.25">
      <c r="B56" s="1"/>
      <c r="C56" s="189"/>
      <c r="D56" s="189"/>
      <c r="E56" s="189"/>
      <c r="F56" s="189"/>
      <c r="G56" s="190"/>
      <c r="H56" s="190"/>
      <c r="I56" s="190"/>
      <c r="K56" s="190"/>
      <c r="L56" s="190"/>
      <c r="M56" s="190"/>
      <c r="N56" s="190"/>
      <c r="O56" s="190"/>
      <c r="W56" s="224"/>
    </row>
    <row r="57" spans="2:34" s="196" customFormat="1" ht="29" customHeight="1" thickBot="1" x14ac:dyDescent="0.2">
      <c r="B57" s="337" t="s">
        <v>186</v>
      </c>
      <c r="C57" s="241" t="s">
        <v>168</v>
      </c>
      <c r="D57" s="181" t="s">
        <v>169</v>
      </c>
      <c r="E57" s="182" t="s">
        <v>185</v>
      </c>
      <c r="F57" s="169" t="s">
        <v>171</v>
      </c>
      <c r="G57" s="74"/>
      <c r="H57" s="242"/>
      <c r="I57" s="74"/>
      <c r="J57" s="74"/>
      <c r="K57" s="74"/>
      <c r="L57" s="242"/>
      <c r="M57" s="242"/>
      <c r="N57" s="242"/>
      <c r="O57" s="242"/>
      <c r="Q57" s="197" t="s">
        <v>176</v>
      </c>
      <c r="R57" s="198" t="s">
        <v>177</v>
      </c>
      <c r="S57" s="198" t="s">
        <v>178</v>
      </c>
      <c r="T57" s="198" t="s">
        <v>179</v>
      </c>
      <c r="U57" s="198" t="s">
        <v>180</v>
      </c>
      <c r="V57" s="198" t="s">
        <v>7</v>
      </c>
      <c r="W57" s="199" t="s">
        <v>181</v>
      </c>
      <c r="AH57"/>
    </row>
    <row r="58" spans="2:34" ht="16" thickTop="1" x14ac:dyDescent="0.2">
      <c r="B58" s="338"/>
      <c r="C58" s="147"/>
      <c r="D58" s="98"/>
      <c r="E58" s="154"/>
      <c r="F58" s="159"/>
      <c r="G58" s="190"/>
      <c r="H58" s="190"/>
      <c r="I58" s="243"/>
      <c r="K58" s="190"/>
      <c r="L58" s="190"/>
      <c r="M58" s="190"/>
      <c r="N58" s="190"/>
      <c r="O58" s="190"/>
      <c r="Q58" s="202" t="str">
        <f>IF(SandBIPDC[[#This Row],[Salary &amp; Benefits]]&lt;&gt;"","30000","")</f>
        <v/>
      </c>
      <c r="R58" s="203" t="str">
        <f>IF(SandBIPDC[[#This Row],[Salary &amp; Benefits]]&lt;&gt;"","11601","")</f>
        <v/>
      </c>
      <c r="S58" s="203" t="str">
        <f>IF(SandBIPDC[[#This Row],[Salary &amp; Benefits]]&lt;&gt;"",_xlfn.XLOOKUP(SandBIPDC[[#This Row],[Role]],TAccnt[Item],TAccnt[Account Code],"",0,1),"")</f>
        <v/>
      </c>
      <c r="T58" s="203" t="str">
        <f>IF(SandBIPDC[[#This Row],[Salary &amp; Benefits]]&lt;&gt;"","98002","")</f>
        <v/>
      </c>
      <c r="U58" s="204" t="str" cm="1">
        <f t="array" ref="U58">IF(SandBIPDC[[#This Row],[Salary &amp; Benefits]]&lt;&gt;"",Indices2Class($E$8,SandBIPDC[[#This Row],[Role]]),"")</f>
        <v/>
      </c>
      <c r="V58" s="203" t="str">
        <f>IF(SandBIPDC[[#This Row],[Salary &amp; Benefits]]&lt;&gt;"","305102","")</f>
        <v/>
      </c>
      <c r="W58" s="205" t="str">
        <f>IF(SandBIPDC[[#This Row],[Salary &amp; Benefits]]&lt;&gt;"",SandBIPDC[[#This Row],[Salary &amp; Benefits]],"")</f>
        <v/>
      </c>
    </row>
    <row r="59" spans="2:34" ht="15" x14ac:dyDescent="0.2">
      <c r="B59" s="338"/>
      <c r="C59" s="147"/>
      <c r="D59" s="98"/>
      <c r="E59" s="154"/>
      <c r="F59" s="159"/>
      <c r="G59" s="190"/>
      <c r="H59" s="190"/>
      <c r="I59" s="243"/>
      <c r="K59" s="190"/>
      <c r="L59" s="190"/>
      <c r="M59" s="190"/>
      <c r="N59" s="190"/>
      <c r="O59" s="190"/>
      <c r="Q59" s="208" t="str">
        <f>IF(SandBIPDC[[#This Row],[Salary &amp; Benefits]]&lt;&gt;"","30000","")</f>
        <v/>
      </c>
      <c r="R59" s="185" t="str">
        <f t="shared" ref="R59:R66" si="0">IF($F59&lt;&gt;"","11601","")</f>
        <v/>
      </c>
      <c r="S59" s="185" t="str">
        <f>IF($F59&lt;&gt;"",_xlfn.XLOOKUP($E59,TAccnt[Item],TAccnt[Account Code],"",0,1),"")</f>
        <v/>
      </c>
      <c r="T59" s="185" t="str">
        <f>IF(SandBIPDC[[#This Row],[Salary &amp; Benefits]]&lt;&gt;"","98002","")</f>
        <v/>
      </c>
      <c r="U59" s="1" t="str" cm="1">
        <f t="array" ref="U59">IF(SandBIPDC[[#This Row],[Salary &amp; Benefits]]&lt;&gt;"",Indices2Class($E$8,SandBIPDC[[#This Row],[Role]]),"")</f>
        <v/>
      </c>
      <c r="V59" s="185" t="str">
        <f>IF(SandBIPDC[[#This Row],[Salary &amp; Benefits]]&lt;&gt;"","305102","")</f>
        <v/>
      </c>
      <c r="W59" s="244" t="str">
        <f>IF(SandBIPDC[[#This Row],[Salary &amp; Benefits]]&lt;&gt;"",SandBIPDC[[#This Row],[Salary &amp; Benefits]],"")</f>
        <v/>
      </c>
    </row>
    <row r="60" spans="2:34" ht="15" x14ac:dyDescent="0.2">
      <c r="B60" s="338"/>
      <c r="C60" s="147"/>
      <c r="D60" s="98"/>
      <c r="E60" s="154"/>
      <c r="F60" s="159"/>
      <c r="G60" s="190"/>
      <c r="H60" s="190"/>
      <c r="I60" s="243"/>
      <c r="K60" s="190"/>
      <c r="L60" s="190"/>
      <c r="M60" s="190"/>
      <c r="N60" s="190"/>
      <c r="O60" s="190"/>
      <c r="Q60" s="211" t="str">
        <f>IF(SandBIPDC[[#This Row],[Salary &amp; Benefits]]&lt;&gt;"","30000","")</f>
        <v/>
      </c>
      <c r="R60" s="212" t="str">
        <f t="shared" si="0"/>
        <v/>
      </c>
      <c r="S60" s="212" t="str">
        <f>IF($F60&lt;&gt;"",_xlfn.XLOOKUP($E60,TAccnt[Item],TAccnt[Account Code],"",0,1),"")</f>
        <v/>
      </c>
      <c r="T60" s="212" t="str">
        <f>IF(SandBIPDC[[#This Row],[Salary &amp; Benefits]]&lt;&gt;"","98002","")</f>
        <v/>
      </c>
      <c r="U60" s="213" t="str" cm="1">
        <f t="array" ref="U60">IF(SandBIPDC[[#This Row],[Salary &amp; Benefits]]&lt;&gt;"",Indices2Class($E$8,SandBIPDC[[#This Row],[Role]]),"")</f>
        <v/>
      </c>
      <c r="V60" s="212" t="str">
        <f>IF(SandBIPDC[[#This Row],[Salary &amp; Benefits]]&lt;&gt;"","305102","")</f>
        <v/>
      </c>
      <c r="W60" s="245" t="str">
        <f>IF(SandBIPDC[[#This Row],[Salary &amp; Benefits]]&lt;&gt;"",SandBIPDC[[#This Row],[Salary &amp; Benefits]],"")</f>
        <v/>
      </c>
    </row>
    <row r="61" spans="2:34" ht="15" x14ac:dyDescent="0.2">
      <c r="B61" s="338"/>
      <c r="C61" s="147"/>
      <c r="D61" s="98"/>
      <c r="E61" s="154"/>
      <c r="F61" s="159"/>
      <c r="G61" s="190"/>
      <c r="H61" s="190"/>
      <c r="I61" s="243"/>
      <c r="K61" s="190"/>
      <c r="L61" s="190"/>
      <c r="M61" s="190"/>
      <c r="N61" s="190"/>
      <c r="O61" s="190"/>
      <c r="Q61" s="208" t="str">
        <f>IF(SandBIPDC[[#This Row],[Salary &amp; Benefits]]&lt;&gt;"","30000","")</f>
        <v/>
      </c>
      <c r="R61" s="185" t="str">
        <f t="shared" si="0"/>
        <v/>
      </c>
      <c r="S61" s="185" t="str">
        <f>IF($F61&lt;&gt;"",_xlfn.XLOOKUP($E61,TAccnt[Item],TAccnt[Account Code],"",0,1),"")</f>
        <v/>
      </c>
      <c r="T61" s="185" t="str">
        <f>IF(SandBIPDC[[#This Row],[Salary &amp; Benefits]]&lt;&gt;"","98002","")</f>
        <v/>
      </c>
      <c r="U61" s="1" t="str" cm="1">
        <f t="array" ref="U61">IF(SandBIPDC[[#This Row],[Salary &amp; Benefits]]&lt;&gt;"",Indices2Class($E$8,SandBIPDC[[#This Row],[Role]]),"")</f>
        <v/>
      </c>
      <c r="V61" s="185" t="str">
        <f>IF(SandBIPDC[[#This Row],[Salary &amp; Benefits]]&lt;&gt;"","305102","")</f>
        <v/>
      </c>
      <c r="W61" s="244" t="str">
        <f>IF(SandBIPDC[[#This Row],[Salary &amp; Benefits]]&lt;&gt;"",SandBIPDC[[#This Row],[Salary &amp; Benefits]],"")</f>
        <v/>
      </c>
    </row>
    <row r="62" spans="2:34" ht="15" x14ac:dyDescent="0.2">
      <c r="B62" s="338"/>
      <c r="C62" s="147"/>
      <c r="D62" s="98"/>
      <c r="E62" s="154"/>
      <c r="F62" s="159"/>
      <c r="G62" s="190"/>
      <c r="H62" s="190"/>
      <c r="I62" s="243"/>
      <c r="K62" s="190"/>
      <c r="L62" s="190"/>
      <c r="M62" s="190"/>
      <c r="N62" s="190"/>
      <c r="O62" s="190"/>
      <c r="Q62" s="211" t="str">
        <f>IF(SandBIPDC[[#This Row],[Salary &amp; Benefits]]&lt;&gt;"","30000","")</f>
        <v/>
      </c>
      <c r="R62" s="212" t="str">
        <f t="shared" si="0"/>
        <v/>
      </c>
      <c r="S62" s="212" t="str">
        <f>IF($F62&lt;&gt;"",_xlfn.XLOOKUP($E62,TAccnt[Item],TAccnt[Account Code],"",0,1),"")</f>
        <v/>
      </c>
      <c r="T62" s="212" t="str">
        <f>IF(SandBIPDC[[#This Row],[Salary &amp; Benefits]]&lt;&gt;"","98002","")</f>
        <v/>
      </c>
      <c r="U62" s="213" t="str" cm="1">
        <f t="array" ref="U62">IF(SandBIPDC[[#This Row],[Salary &amp; Benefits]]&lt;&gt;"",Indices2Class($E$8,SandBIPDC[[#This Row],[Role]]),"")</f>
        <v/>
      </c>
      <c r="V62" s="212" t="str">
        <f>IF(SandBIPDC[[#This Row],[Salary &amp; Benefits]]&lt;&gt;"","305102","")</f>
        <v/>
      </c>
      <c r="W62" s="245" t="str">
        <f>IF(SandBIPDC[[#This Row],[Salary &amp; Benefits]]&lt;&gt;"",SandBIPDC[[#This Row],[Salary &amp; Benefits]],"")</f>
        <v/>
      </c>
    </row>
    <row r="63" spans="2:34" ht="15" x14ac:dyDescent="0.2">
      <c r="B63" s="338"/>
      <c r="C63" s="147"/>
      <c r="D63" s="98"/>
      <c r="E63" s="154"/>
      <c r="F63" s="159"/>
      <c r="G63" s="190"/>
      <c r="H63" s="190"/>
      <c r="I63" s="243"/>
      <c r="K63" s="190"/>
      <c r="L63" s="190"/>
      <c r="M63" s="190"/>
      <c r="N63" s="190"/>
      <c r="O63" s="190"/>
      <c r="Q63" s="208" t="str">
        <f>IF(SandBIPDC[[#This Row],[Salary &amp; Benefits]]&lt;&gt;"","30000","")</f>
        <v/>
      </c>
      <c r="R63" s="185" t="str">
        <f t="shared" si="0"/>
        <v/>
      </c>
      <c r="S63" s="185" t="str">
        <f>IF($F63&lt;&gt;"",_xlfn.XLOOKUP($E63,TAccnt[Item],TAccnt[Account Code],"",0,1),"")</f>
        <v/>
      </c>
      <c r="T63" s="185" t="str">
        <f>IF(SandBIPDC[[#This Row],[Salary &amp; Benefits]]&lt;&gt;"","98002","")</f>
        <v/>
      </c>
      <c r="U63" s="1" t="str" cm="1">
        <f t="array" ref="U63">IF(SandBIPDC[[#This Row],[Salary &amp; Benefits]]&lt;&gt;"",Indices2Class($E$8,SandBIPDC[[#This Row],[Role]]),"")</f>
        <v/>
      </c>
      <c r="V63" s="185" t="str">
        <f>IF(SandBIPDC[[#This Row],[Salary &amp; Benefits]]&lt;&gt;"","305102","")</f>
        <v/>
      </c>
      <c r="W63" s="244" t="str">
        <f>IF(SandBIPDC[[#This Row],[Salary &amp; Benefits]]&lt;&gt;"",SandBIPDC[[#This Row],[Salary &amp; Benefits]],"")</f>
        <v/>
      </c>
    </row>
    <row r="64" spans="2:34" ht="15" x14ac:dyDescent="0.2">
      <c r="B64" s="338"/>
      <c r="C64" s="147"/>
      <c r="D64" s="98"/>
      <c r="E64" s="154"/>
      <c r="F64" s="159"/>
      <c r="G64" s="190"/>
      <c r="H64" s="190"/>
      <c r="I64" s="243"/>
      <c r="K64" s="190"/>
      <c r="L64" s="190"/>
      <c r="M64" s="190"/>
      <c r="N64" s="190"/>
      <c r="O64" s="190"/>
      <c r="Q64" s="211" t="str">
        <f>IF(SandBIPDC[[#This Row],[Salary &amp; Benefits]]&lt;&gt;"","30000","")</f>
        <v/>
      </c>
      <c r="R64" s="212" t="str">
        <f t="shared" si="0"/>
        <v/>
      </c>
      <c r="S64" s="212" t="str">
        <f>IF($F64&lt;&gt;"",_xlfn.XLOOKUP($E64,TAccnt[Item],TAccnt[Account Code],"",0,1),"")</f>
        <v/>
      </c>
      <c r="T64" s="212" t="str">
        <f>IF(SandBIPDC[[#This Row],[Salary &amp; Benefits]]&lt;&gt;"","98002","")</f>
        <v/>
      </c>
      <c r="U64" s="213" t="str" cm="1">
        <f t="array" ref="U64">IF(SandBIPDC[[#This Row],[Salary &amp; Benefits]]&lt;&gt;"",Indices2Class($E$8,SandBIPDC[[#This Row],[Role]]),"")</f>
        <v/>
      </c>
      <c r="V64" s="212" t="str">
        <f>IF(SandBIPDC[[#This Row],[Salary &amp; Benefits]]&lt;&gt;"","305102","")</f>
        <v/>
      </c>
      <c r="W64" s="245" t="str">
        <f>IF(SandBIPDC[[#This Row],[Salary &amp; Benefits]]&lt;&gt;"",SandBIPDC[[#This Row],[Salary &amp; Benefits]],"")</f>
        <v/>
      </c>
    </row>
    <row r="65" spans="2:34" ht="15" x14ac:dyDescent="0.2">
      <c r="B65" s="338"/>
      <c r="C65" s="147"/>
      <c r="D65" s="98"/>
      <c r="E65" s="154"/>
      <c r="F65" s="159"/>
      <c r="G65" s="190"/>
      <c r="H65" s="190"/>
      <c r="I65" s="243"/>
      <c r="K65" s="190"/>
      <c r="L65" s="190"/>
      <c r="M65" s="190"/>
      <c r="N65" s="190"/>
      <c r="O65" s="190"/>
      <c r="Q65" s="208" t="str">
        <f>IF(SandBIPDC[[#This Row],[Salary &amp; Benefits]]&lt;&gt;"","30000","")</f>
        <v/>
      </c>
      <c r="R65" s="185" t="str">
        <f t="shared" si="0"/>
        <v/>
      </c>
      <c r="S65" s="185" t="str">
        <f>IF($F65&lt;&gt;"",_xlfn.XLOOKUP($E65,TAccnt[Item],TAccnt[Account Code],"",0,1),"")</f>
        <v/>
      </c>
      <c r="T65" s="185" t="str">
        <f>IF(SandBIPDC[[#This Row],[Salary &amp; Benefits]]&lt;&gt;"","98002","")</f>
        <v/>
      </c>
      <c r="U65" s="1" t="str" cm="1">
        <f t="array" ref="U65">IF(SandBIPDC[[#This Row],[Salary &amp; Benefits]]&lt;&gt;"",Indices2Class($E$8,SandBIPDC[[#This Row],[Role]]),"")</f>
        <v/>
      </c>
      <c r="V65" s="185" t="str">
        <f>IF(SandBIPDC[[#This Row],[Salary &amp; Benefits]]&lt;&gt;"","305102","")</f>
        <v/>
      </c>
      <c r="W65" s="244" t="str">
        <f>IF(SandBIPDC[[#This Row],[Salary &amp; Benefits]]&lt;&gt;"",SandBIPDC[[#This Row],[Salary &amp; Benefits]],"")</f>
        <v/>
      </c>
    </row>
    <row r="66" spans="2:34" ht="16" thickBot="1" x14ac:dyDescent="0.25">
      <c r="B66" s="339"/>
      <c r="C66" s="314" t="s">
        <v>187</v>
      </c>
      <c r="D66" s="315"/>
      <c r="E66" s="322"/>
      <c r="F66" s="328"/>
      <c r="G66" s="190"/>
      <c r="H66" s="190"/>
      <c r="I66" s="243"/>
      <c r="K66" s="1"/>
      <c r="Q66" s="217" t="str">
        <f>IF(SandBIPDC[[#This Row],[Salary &amp; Benefits]]&lt;&gt;"","30000","")</f>
        <v/>
      </c>
      <c r="R66" s="218" t="str">
        <f t="shared" si="0"/>
        <v/>
      </c>
      <c r="S66" s="218" t="str">
        <f>IF($F66&lt;&gt;"",_xlfn.XLOOKUP($E66,TAccnt[Item],TAccnt[Account Code],"",0,1),"")</f>
        <v/>
      </c>
      <c r="T66" s="218" t="str">
        <f>IF(SandBIPDC[[#This Row],[Salary &amp; Benefits]]&lt;&gt;"","98002","")</f>
        <v/>
      </c>
      <c r="U66" s="219" t="str" cm="1">
        <f t="array" ref="U66">IF(SandBIPDC[[#This Row],[Salary &amp; Benefits]]&lt;&gt;"",Indices2Class($E$8,SandBIPDC[[#This Row],[Role]]),"")</f>
        <v/>
      </c>
      <c r="V66" s="218" t="str">
        <f>IF(SandBIPDC[[#This Row],[Salary &amp; Benefits]]&lt;&gt;"","305102","")</f>
        <v/>
      </c>
      <c r="W66" s="246" t="str">
        <f>IF(SandBIPDC[[#This Row],[Salary &amp; Benefits]]&lt;&gt;"",SandBIPDC[[#This Row],[Salary &amp; Benefits]],"")</f>
        <v/>
      </c>
    </row>
    <row r="67" spans="2:34" ht="15" x14ac:dyDescent="0.2">
      <c r="C67" s="189"/>
      <c r="D67" s="189"/>
      <c r="E67" s="189"/>
      <c r="F67" s="189"/>
      <c r="G67" s="190"/>
      <c r="H67" s="190"/>
      <c r="I67" s="190"/>
      <c r="W67" s="224"/>
    </row>
    <row r="68" spans="2:34" ht="15" x14ac:dyDescent="0.2">
      <c r="C68" s="189"/>
      <c r="D68" s="189"/>
      <c r="E68" s="189"/>
      <c r="F68" s="189"/>
      <c r="G68" s="190"/>
      <c r="H68" s="190"/>
      <c r="I68" s="190"/>
      <c r="W68" s="224"/>
    </row>
    <row r="69" spans="2:34" ht="16" thickBot="1" x14ac:dyDescent="0.25">
      <c r="C69" s="189"/>
      <c r="D69" s="189"/>
      <c r="E69" s="189"/>
      <c r="F69" s="189"/>
      <c r="G69" s="190"/>
      <c r="H69" s="190"/>
      <c r="I69" s="190"/>
      <c r="W69" s="224"/>
    </row>
    <row r="70" spans="2:34" ht="18" customHeight="1" thickBot="1" x14ac:dyDescent="0.25">
      <c r="B70" s="191" t="s">
        <v>188</v>
      </c>
      <c r="C70" s="247"/>
      <c r="F70" s="194"/>
      <c r="G70" s="372" t="s">
        <v>189</v>
      </c>
      <c r="H70" s="373"/>
      <c r="I70" s="373"/>
      <c r="J70" s="373"/>
      <c r="K70" s="374"/>
      <c r="L70" s="248"/>
      <c r="M70" s="249"/>
      <c r="N70" s="249"/>
      <c r="O70" s="249"/>
      <c r="W70" s="224"/>
    </row>
    <row r="71" spans="2:34" ht="31" thickBot="1" x14ac:dyDescent="0.2">
      <c r="B71" s="250" t="s">
        <v>190</v>
      </c>
      <c r="C71" s="251"/>
      <c r="D71" s="251"/>
      <c r="E71" s="252"/>
      <c r="F71" s="253" t="s">
        <v>181</v>
      </c>
      <c r="G71" s="229" t="s">
        <v>172</v>
      </c>
      <c r="H71" s="254" t="s">
        <v>173</v>
      </c>
      <c r="I71" s="229" t="s">
        <v>174</v>
      </c>
      <c r="J71" s="254" t="s">
        <v>175</v>
      </c>
      <c r="K71" s="255" t="s">
        <v>77</v>
      </c>
      <c r="L71" s="375" t="s">
        <v>191</v>
      </c>
      <c r="M71" s="376"/>
      <c r="N71" s="376"/>
      <c r="O71" s="377"/>
      <c r="Q71" s="197" t="s">
        <v>176</v>
      </c>
      <c r="R71" s="198" t="s">
        <v>177</v>
      </c>
      <c r="S71" s="198" t="s">
        <v>178</v>
      </c>
      <c r="T71" s="198" t="s">
        <v>179</v>
      </c>
      <c r="U71" s="198" t="s">
        <v>180</v>
      </c>
      <c r="V71" s="198" t="s">
        <v>7</v>
      </c>
      <c r="W71" s="199" t="s">
        <v>181</v>
      </c>
      <c r="Z71" s="197" t="s">
        <v>176</v>
      </c>
      <c r="AA71" s="198" t="s">
        <v>177</v>
      </c>
      <c r="AB71" s="198" t="s">
        <v>178</v>
      </c>
      <c r="AC71" s="198" t="s">
        <v>179</v>
      </c>
      <c r="AD71" s="198" t="s">
        <v>180</v>
      </c>
      <c r="AE71" s="198" t="s">
        <v>7</v>
      </c>
      <c r="AF71" s="199" t="s">
        <v>181</v>
      </c>
      <c r="AG71" s="196"/>
      <c r="AH71" s="200" t="s">
        <v>182</v>
      </c>
    </row>
    <row r="72" spans="2:34" ht="17" thickTop="1" x14ac:dyDescent="0.2">
      <c r="B72" s="369" t="s">
        <v>110</v>
      </c>
      <c r="C72" s="370"/>
      <c r="D72" s="370"/>
      <c r="E72" s="371"/>
      <c r="F72" s="150"/>
      <c r="G72" s="164"/>
      <c r="H72" s="174"/>
      <c r="I72" s="100"/>
      <c r="J72" s="256" t="str">
        <f>IF(H72&gt;0,100-H72,"")</f>
        <v/>
      </c>
      <c r="K72" s="183"/>
      <c r="L72" s="378"/>
      <c r="M72" s="379"/>
      <c r="N72" s="379"/>
      <c r="O72" s="380"/>
      <c r="Q72" s="202" t="str">
        <f t="shared" ref="Q72:Q86" si="1">IF($F72&lt;&gt;"","30000","")</f>
        <v/>
      </c>
      <c r="R72" s="203" t="str">
        <f t="shared" ref="R72:R86" si="2">IF($F72&lt;&gt;"","11601","")</f>
        <v/>
      </c>
      <c r="S72" s="203" t="str">
        <f>IF($F72&lt;&gt;"",_xlfn.XLOOKUP($B72,TAccnt[Item],TAccnt[Account Code],"",0,1),"")</f>
        <v/>
      </c>
      <c r="T72" s="203" t="str">
        <f>IF($F72&lt;&gt;"",IF($S72=640001,_xlfn.XLOOKUP($B72,TAccnt[Item],TAccnt[AUX Program Code],),"98001"),"")</f>
        <v/>
      </c>
      <c r="U72" s="204" t="str" cm="1">
        <f t="array" ref="U72">IF($F72&lt;&gt;"",Indices2Class($E$8,$G72),"")</f>
        <v/>
      </c>
      <c r="V72" s="203" t="str">
        <f t="shared" ref="V72:V86" si="3">IF($F72&lt;&gt;"","305102","")</f>
        <v/>
      </c>
      <c r="W72" s="257" t="str">
        <f>IF($F72&lt;&gt;"",ROUND($F72*$H72/100,2),"")</f>
        <v/>
      </c>
      <c r="Z72" s="202" t="str">
        <f>IF(Template!$AF72&lt;&gt;"","30000","")</f>
        <v/>
      </c>
      <c r="AA72" s="203" t="str">
        <f>IF(Template!$AF72&lt;&gt;"","11601","")</f>
        <v/>
      </c>
      <c r="AB72" s="203" t="str">
        <f>IF($AF72&lt;&gt;"",_xlfn.XLOOKUP($B72,TAccnt[Item],TAccnt[Account Code],"",0,1),"")</f>
        <v/>
      </c>
      <c r="AC72" s="203" t="str">
        <f>IF($AF72&lt;&gt;"",IF($AB72=640001,_xlfn.XLOOKUP($B72,TAccnt[Item],TAccnt[AUX Program Code],),"98001"),"")</f>
        <v/>
      </c>
      <c r="AD72" s="204" t="str" cm="1">
        <f t="array" ref="AD72">IF($AF72&lt;&gt;"",Indices2Class($E$8,$I72),"")</f>
        <v/>
      </c>
      <c r="AE72" s="203" t="str">
        <f>IF(Template!$AF72&lt;&gt;"","305102","")</f>
        <v/>
      </c>
      <c r="AF72" s="205" t="str">
        <f>IF(AND($J72&gt;0,$F72&lt;&gt;""),$F72-$W72,"")</f>
        <v/>
      </c>
      <c r="AH72" s="206" t="str">
        <f>IF($F72&lt;&gt;"",IF(Template!$W72+IF(Template!$AF72&lt;&gt;"",Template!$AF72,0)=$F72,TRUE,FALSE),"")</f>
        <v/>
      </c>
    </row>
    <row r="73" spans="2:34" ht="16" x14ac:dyDescent="0.2">
      <c r="B73" s="329" t="s">
        <v>112</v>
      </c>
      <c r="C73" s="330"/>
      <c r="D73" s="330"/>
      <c r="E73" s="331"/>
      <c r="F73" s="176"/>
      <c r="G73" s="177"/>
      <c r="H73" s="175"/>
      <c r="I73" s="178"/>
      <c r="J73" s="180" t="str">
        <f t="shared" ref="J73:J86" si="4">IF(H73&gt;0,100-H73,"")</f>
        <v/>
      </c>
      <c r="K73" s="289"/>
      <c r="L73" s="381"/>
      <c r="M73" s="382"/>
      <c r="N73" s="382"/>
      <c r="O73" s="383"/>
      <c r="Q73" s="208" t="str">
        <f t="shared" si="1"/>
        <v/>
      </c>
      <c r="R73" s="185" t="str">
        <f t="shared" si="2"/>
        <v/>
      </c>
      <c r="S73" s="185" t="str">
        <f>IF($F73&lt;&gt;"",_xlfn.XLOOKUP($B73,TAccnt[Item],TAccnt[Account Code],"",0,1),"")</f>
        <v/>
      </c>
      <c r="T73" s="185" t="str">
        <f>IF($F73&lt;&gt;"",IF($S73=640001,_xlfn.XLOOKUP($B73,TAccnt[Item],TAccnt[AUX Program Code],),"98001"),"")</f>
        <v/>
      </c>
      <c r="U73" s="1" t="str" cm="1">
        <f t="array" ref="U73">IF($F73&lt;&gt;"",Indices2Class($E$8,$G73),"")</f>
        <v/>
      </c>
      <c r="V73" s="185" t="str">
        <f t="shared" si="3"/>
        <v/>
      </c>
      <c r="W73" s="244" t="str">
        <f t="shared" ref="W73:W86" si="5">IF($F73&lt;&gt;"",ROUND($F73*$H73/100,2),"")</f>
        <v/>
      </c>
      <c r="Z73" s="208" t="str">
        <f>IF(Template!$AF73&lt;&gt;"","30000","")</f>
        <v/>
      </c>
      <c r="AA73" s="185" t="str">
        <f>IF(Template!$AF73&lt;&gt;"","11601","")</f>
        <v/>
      </c>
      <c r="AB73" s="185" t="str">
        <f>IF($AF73&lt;&gt;"",_xlfn.XLOOKUP($B73,TAccnt[Item],TAccnt[Account Code],"",0,1),"")</f>
        <v/>
      </c>
      <c r="AC73" s="185" t="str">
        <f>IF($AF73&lt;&gt;"",IF($AB73=640001,_xlfn.XLOOKUP($B73,TAccnt[Item],TAccnt[AUX Program Code],),"98001"),"")</f>
        <v/>
      </c>
      <c r="AD73" s="1" t="str" cm="1">
        <f t="array" ref="AD73">IF($AF73&lt;&gt;"",Indices2Class($E$8,$I73),"")</f>
        <v/>
      </c>
      <c r="AE73" s="185" t="str">
        <f>IF(Template!$AF73&lt;&gt;"","305102","")</f>
        <v/>
      </c>
      <c r="AF73" s="244" t="str">
        <f t="shared" ref="AF73:AF86" si="6">IF(AND($J73&gt;0,$F73&lt;&gt;""),$F73-$W73,"")</f>
        <v/>
      </c>
      <c r="AH73" s="210" t="str">
        <f>IF($F73&lt;&gt;"",IF(Template!$W73+IF(Template!$AF73&lt;&gt;"",Template!$AF73,0)=$F73,TRUE,FALSE),"")</f>
        <v/>
      </c>
    </row>
    <row r="74" spans="2:34" ht="16" x14ac:dyDescent="0.2">
      <c r="B74" s="329" t="s">
        <v>113</v>
      </c>
      <c r="C74" s="330"/>
      <c r="D74" s="330"/>
      <c r="E74" s="331"/>
      <c r="F74" s="176"/>
      <c r="G74" s="177"/>
      <c r="H74" s="175"/>
      <c r="I74" s="178"/>
      <c r="J74" s="180" t="str">
        <f t="shared" si="4"/>
        <v/>
      </c>
      <c r="K74" s="289"/>
      <c r="L74" s="381"/>
      <c r="M74" s="382"/>
      <c r="N74" s="382"/>
      <c r="O74" s="383"/>
      <c r="Q74" s="211" t="str">
        <f t="shared" si="1"/>
        <v/>
      </c>
      <c r="R74" s="212" t="str">
        <f t="shared" si="2"/>
        <v/>
      </c>
      <c r="S74" s="212" t="str">
        <f>IF($F74&lt;&gt;"",_xlfn.XLOOKUP($B74,TAccnt[Item],TAccnt[Account Code],"",0,1),"")</f>
        <v/>
      </c>
      <c r="T74" s="212" t="str">
        <f>IF($F74&lt;&gt;"",IF($S74=640001,_xlfn.XLOOKUP($B74,TAccnt[Item],TAccnt[AUX Program Code],),"98001"),"")</f>
        <v/>
      </c>
      <c r="U74" s="213" t="str" cm="1">
        <f t="array" ref="U74">IF($F74&lt;&gt;"",Indices2Class($E$8,$G74),"")</f>
        <v/>
      </c>
      <c r="V74" s="212" t="str">
        <f t="shared" si="3"/>
        <v/>
      </c>
      <c r="W74" s="245" t="str">
        <f t="shared" si="5"/>
        <v/>
      </c>
      <c r="Z74" s="211" t="str">
        <f>IF(Template!$AF74&lt;&gt;"","30000","")</f>
        <v/>
      </c>
      <c r="AA74" s="212" t="str">
        <f>IF(Template!$AF74&lt;&gt;"","11601","")</f>
        <v/>
      </c>
      <c r="AB74" s="212" t="str">
        <f>IF($AF74&lt;&gt;"",_xlfn.XLOOKUP($B74,TAccnt[Item],TAccnt[Account Code],"",0,1),"")</f>
        <v/>
      </c>
      <c r="AC74" s="212" t="str">
        <f>IF($AF74&lt;&gt;"",IF($AB74=640001,_xlfn.XLOOKUP($B74,TAccnt[Item],TAccnt[AUX Program Code],),"98001"),"")</f>
        <v/>
      </c>
      <c r="AD74" s="213" t="str" cm="1">
        <f t="array" ref="AD74">IF($AF74&lt;&gt;"",Indices2Class($E$8,$I74),"")</f>
        <v/>
      </c>
      <c r="AE74" s="212" t="str">
        <f>IF(Template!$AF74&lt;&gt;"","305102","")</f>
        <v/>
      </c>
      <c r="AF74" s="245" t="str">
        <f t="shared" si="6"/>
        <v/>
      </c>
      <c r="AH74" s="215" t="str">
        <f>IF($F74&lt;&gt;"",IF(Template!$W74+IF(Template!$AF74&lt;&gt;"",Template!$AF74,0)=$F74,TRUE,FALSE),"")</f>
        <v/>
      </c>
    </row>
    <row r="75" spans="2:34" ht="16" x14ac:dyDescent="0.2">
      <c r="B75" s="329" t="s">
        <v>114</v>
      </c>
      <c r="C75" s="330"/>
      <c r="D75" s="330"/>
      <c r="E75" s="331"/>
      <c r="F75" s="176"/>
      <c r="G75" s="177"/>
      <c r="H75" s="175"/>
      <c r="I75" s="178"/>
      <c r="J75" s="180" t="str">
        <f t="shared" si="4"/>
        <v/>
      </c>
      <c r="K75" s="289"/>
      <c r="L75" s="381"/>
      <c r="M75" s="382"/>
      <c r="N75" s="382"/>
      <c r="O75" s="383"/>
      <c r="Q75" s="208" t="str">
        <f t="shared" si="1"/>
        <v/>
      </c>
      <c r="R75" s="185" t="str">
        <f t="shared" si="2"/>
        <v/>
      </c>
      <c r="S75" s="185" t="str">
        <f>IF($F75&lt;&gt;"",_xlfn.XLOOKUP($B75,TAccnt[Item],TAccnt[Account Code],"",0,1),"")</f>
        <v/>
      </c>
      <c r="T75" s="185" t="str">
        <f>IF($F75&lt;&gt;"",IF($S75=640001,_xlfn.XLOOKUP($B75,TAccnt[Item],TAccnt[AUX Program Code],),"98001"),"")</f>
        <v/>
      </c>
      <c r="U75" s="1" t="str" cm="1">
        <f t="array" ref="U75">IF($F75&lt;&gt;"",Indices2Class($E$8,$G75),"")</f>
        <v/>
      </c>
      <c r="V75" s="185" t="str">
        <f t="shared" si="3"/>
        <v/>
      </c>
      <c r="W75" s="244" t="str">
        <f t="shared" si="5"/>
        <v/>
      </c>
      <c r="Z75" s="208" t="str">
        <f>IF(Template!$AF75&lt;&gt;"","30000","")</f>
        <v/>
      </c>
      <c r="AA75" s="185" t="str">
        <f>IF(Template!$AF75&lt;&gt;"","11601","")</f>
        <v/>
      </c>
      <c r="AB75" s="185" t="str">
        <f>IF($AF75&lt;&gt;"",_xlfn.XLOOKUP($B75,TAccnt[Item],TAccnt[Account Code],"",0,1),"")</f>
        <v/>
      </c>
      <c r="AC75" s="185" t="str">
        <f>IF($AF75&lt;&gt;"",IF($AB75=640001,_xlfn.XLOOKUP($B75,TAccnt[Item],TAccnt[AUX Program Code],),"98001"),"")</f>
        <v/>
      </c>
      <c r="AD75" s="1" t="str" cm="1">
        <f t="array" ref="AD75">IF($AF75&lt;&gt;"",Indices2Class($E$8,$I75),"")</f>
        <v/>
      </c>
      <c r="AE75" s="185" t="str">
        <f>IF(Template!$AF75&lt;&gt;"","305102","")</f>
        <v/>
      </c>
      <c r="AF75" s="244" t="str">
        <f t="shared" si="6"/>
        <v/>
      </c>
      <c r="AH75" s="210" t="str">
        <f>IF($F75&lt;&gt;"",IF(Template!$W75+IF(Template!$AF75&lt;&gt;"",Template!$AF75,0)=$F75,TRUE,FALSE),"")</f>
        <v/>
      </c>
    </row>
    <row r="76" spans="2:34" ht="16" x14ac:dyDescent="0.2">
      <c r="B76" s="329" t="s">
        <v>115</v>
      </c>
      <c r="C76" s="330"/>
      <c r="D76" s="330"/>
      <c r="E76" s="331"/>
      <c r="F76" s="176"/>
      <c r="G76" s="177"/>
      <c r="H76" s="175"/>
      <c r="I76" s="178"/>
      <c r="J76" s="180" t="str">
        <f t="shared" si="4"/>
        <v/>
      </c>
      <c r="K76" s="289"/>
      <c r="L76" s="381"/>
      <c r="M76" s="382"/>
      <c r="N76" s="382"/>
      <c r="O76" s="383"/>
      <c r="Q76" s="211" t="str">
        <f t="shared" si="1"/>
        <v/>
      </c>
      <c r="R76" s="212" t="str">
        <f t="shared" si="2"/>
        <v/>
      </c>
      <c r="S76" s="212" t="str">
        <f>IF($F76&lt;&gt;"",_xlfn.XLOOKUP($B76,TAccnt[Item],TAccnt[Account Code],"",0,1),"")</f>
        <v/>
      </c>
      <c r="T76" s="212" t="str">
        <f>IF($F76&lt;&gt;"",IF($S76=640001,_xlfn.XLOOKUP($B76,TAccnt[Item],TAccnt[AUX Program Code],),"98001"),"")</f>
        <v/>
      </c>
      <c r="U76" s="213" t="str" cm="1">
        <f t="array" ref="U76">IF($F76&lt;&gt;"",Indices2Class($E$8,$G76),"")</f>
        <v/>
      </c>
      <c r="V76" s="212" t="str">
        <f t="shared" si="3"/>
        <v/>
      </c>
      <c r="W76" s="245" t="str">
        <f t="shared" si="5"/>
        <v/>
      </c>
      <c r="Z76" s="211" t="str">
        <f>IF(Template!$AF76&lt;&gt;"","30000","")</f>
        <v/>
      </c>
      <c r="AA76" s="212" t="str">
        <f>IF(Template!$AF76&lt;&gt;"","11601","")</f>
        <v/>
      </c>
      <c r="AB76" s="212" t="str">
        <f>IF($AF76&lt;&gt;"",_xlfn.XLOOKUP($B76,TAccnt[Item],TAccnt[Account Code],"",0,1),"")</f>
        <v/>
      </c>
      <c r="AC76" s="212" t="str">
        <f>IF($AF76&lt;&gt;"",IF($AB76=640001,_xlfn.XLOOKUP($B76,TAccnt[Item],TAccnt[AUX Program Code],),"98001"),"")</f>
        <v/>
      </c>
      <c r="AD76" s="213" t="str" cm="1">
        <f t="array" ref="AD76">IF($AF76&lt;&gt;"",Indices2Class($E$8,$I76),"")</f>
        <v/>
      </c>
      <c r="AE76" s="212" t="str">
        <f>IF(Template!$AF76&lt;&gt;"","305102","")</f>
        <v/>
      </c>
      <c r="AF76" s="245" t="str">
        <f t="shared" si="6"/>
        <v/>
      </c>
      <c r="AH76" s="215" t="str">
        <f>IF($F76&lt;&gt;"",IF(Template!$W76+IF(Template!$AF76&lt;&gt;"",Template!$AF76,0)=$F76,TRUE,FALSE),"")</f>
        <v/>
      </c>
    </row>
    <row r="77" spans="2:34" ht="16" x14ac:dyDescent="0.2">
      <c r="B77" s="329" t="s">
        <v>117</v>
      </c>
      <c r="C77" s="330"/>
      <c r="D77" s="330"/>
      <c r="E77" s="331"/>
      <c r="F77" s="176"/>
      <c r="G77" s="177"/>
      <c r="H77" s="175"/>
      <c r="I77" s="178"/>
      <c r="J77" s="180" t="str">
        <f t="shared" si="4"/>
        <v/>
      </c>
      <c r="K77" s="289"/>
      <c r="L77" s="381"/>
      <c r="M77" s="382"/>
      <c r="N77" s="382"/>
      <c r="O77" s="383"/>
      <c r="Q77" s="208" t="str">
        <f t="shared" si="1"/>
        <v/>
      </c>
      <c r="R77" s="185" t="str">
        <f t="shared" si="2"/>
        <v/>
      </c>
      <c r="S77" s="185" t="str">
        <f>IF($F77&lt;&gt;"",_xlfn.XLOOKUP($B77,TAccnt[Item],TAccnt[Account Code],"",0,1),"")</f>
        <v/>
      </c>
      <c r="T77" s="185" t="str">
        <f>IF($F77&lt;&gt;"",IF($S77=640001,_xlfn.XLOOKUP($B77,TAccnt[Item],TAccnt[AUX Program Code],),"98001"),"")</f>
        <v/>
      </c>
      <c r="U77" s="1" t="str" cm="1">
        <f t="array" ref="U77">IF($F77&lt;&gt;"",Indices2Class($E$8,$G77),"")</f>
        <v/>
      </c>
      <c r="V77" s="185" t="str">
        <f t="shared" si="3"/>
        <v/>
      </c>
      <c r="W77" s="244" t="str">
        <f t="shared" si="5"/>
        <v/>
      </c>
      <c r="Z77" s="208" t="str">
        <f>IF(Template!$AF77&lt;&gt;"","30000","")</f>
        <v/>
      </c>
      <c r="AA77" s="185" t="str">
        <f>IF(Template!$AF77&lt;&gt;"","11601","")</f>
        <v/>
      </c>
      <c r="AB77" s="185" t="str">
        <f>IF($AF77&lt;&gt;"",_xlfn.XLOOKUP($B77,TAccnt[Item],TAccnt[Account Code],"",0,1),"")</f>
        <v/>
      </c>
      <c r="AC77" s="185" t="str">
        <f>IF($AF77&lt;&gt;"",IF($AB77=640001,_xlfn.XLOOKUP($B77,TAccnt[Item],TAccnt[AUX Program Code],),"98001"),"")</f>
        <v/>
      </c>
      <c r="AD77" s="1" t="str" cm="1">
        <f t="array" ref="AD77">IF($AF77&lt;&gt;"",Indices2Class($E$8,$I77),"")</f>
        <v/>
      </c>
      <c r="AE77" s="185" t="str">
        <f>IF(Template!$AF77&lt;&gt;"","305102","")</f>
        <v/>
      </c>
      <c r="AF77" s="244" t="str">
        <f t="shared" si="6"/>
        <v/>
      </c>
      <c r="AH77" s="210" t="str">
        <f>IF($F77&lt;&gt;"",IF(Template!$W77+IF(Template!$AF77&lt;&gt;"",Template!$AF77,0)=$F77,TRUE,FALSE),"")</f>
        <v/>
      </c>
    </row>
    <row r="78" spans="2:34" ht="16" x14ac:dyDescent="0.2">
      <c r="B78" s="329" t="s">
        <v>120</v>
      </c>
      <c r="C78" s="330"/>
      <c r="D78" s="330"/>
      <c r="E78" s="331"/>
      <c r="F78" s="176"/>
      <c r="G78" s="177"/>
      <c r="H78" s="175"/>
      <c r="I78" s="178"/>
      <c r="J78" s="180" t="str">
        <f t="shared" si="4"/>
        <v/>
      </c>
      <c r="K78" s="289"/>
      <c r="L78" s="381"/>
      <c r="M78" s="382"/>
      <c r="N78" s="382"/>
      <c r="O78" s="383"/>
      <c r="Q78" s="211" t="str">
        <f t="shared" si="1"/>
        <v/>
      </c>
      <c r="R78" s="212" t="str">
        <f t="shared" si="2"/>
        <v/>
      </c>
      <c r="S78" s="212" t="str">
        <f>IF($F78&lt;&gt;"",_xlfn.XLOOKUP($B78,TAccnt[Item],TAccnt[Account Code],"",0,1),"")</f>
        <v/>
      </c>
      <c r="T78" s="212" t="str">
        <f>IF($F78&lt;&gt;"",IF($S78=640001,_xlfn.XLOOKUP($B78,TAccnt[Item],TAccnt[AUX Program Code],),"98001"),"")</f>
        <v/>
      </c>
      <c r="U78" s="213" t="str" cm="1">
        <f t="array" ref="U78">IF($F78&lt;&gt;"",Indices2Class($E$8,$G78),"")</f>
        <v/>
      </c>
      <c r="V78" s="212" t="str">
        <f t="shared" si="3"/>
        <v/>
      </c>
      <c r="W78" s="245" t="str">
        <f t="shared" si="5"/>
        <v/>
      </c>
      <c r="Z78" s="211" t="str">
        <f>IF(Template!$AF78&lt;&gt;"","30000","")</f>
        <v/>
      </c>
      <c r="AA78" s="212" t="str">
        <f>IF(Template!$AF78&lt;&gt;"","11601","")</f>
        <v/>
      </c>
      <c r="AB78" s="212" t="str">
        <f>IF($AF78&lt;&gt;"",_xlfn.XLOOKUP($B78,TAccnt[Item],TAccnt[Account Code],"",0,1),"")</f>
        <v/>
      </c>
      <c r="AC78" s="212" t="str">
        <f>IF($AF78&lt;&gt;"",IF($AB78=640001,_xlfn.XLOOKUP($B78,TAccnt[Item],TAccnt[AUX Program Code],),"98001"),"")</f>
        <v/>
      </c>
      <c r="AD78" s="213" t="str" cm="1">
        <f t="array" ref="AD78">IF($AF78&lt;&gt;"",Indices2Class($E$8,$I78),"")</f>
        <v/>
      </c>
      <c r="AE78" s="212" t="str">
        <f>IF(Template!$AF78&lt;&gt;"","305102","")</f>
        <v/>
      </c>
      <c r="AF78" s="245" t="str">
        <f t="shared" si="6"/>
        <v/>
      </c>
      <c r="AH78" s="215" t="str">
        <f>IF($F78&lt;&gt;"",IF(Template!$W78+IF(Template!$AF78&lt;&gt;"",Template!$AF78,0)=$F78,TRUE,FALSE),"")</f>
        <v/>
      </c>
    </row>
    <row r="79" spans="2:34" ht="16" x14ac:dyDescent="0.2">
      <c r="B79" s="329" t="s">
        <v>123</v>
      </c>
      <c r="C79" s="330"/>
      <c r="D79" s="330"/>
      <c r="E79" s="331"/>
      <c r="F79" s="176"/>
      <c r="G79" s="177"/>
      <c r="H79" s="175"/>
      <c r="I79" s="178"/>
      <c r="J79" s="180" t="str">
        <f t="shared" si="4"/>
        <v/>
      </c>
      <c r="K79" s="289"/>
      <c r="L79" s="381"/>
      <c r="M79" s="382"/>
      <c r="N79" s="382"/>
      <c r="O79" s="383"/>
      <c r="Q79" s="208" t="str">
        <f t="shared" si="1"/>
        <v/>
      </c>
      <c r="R79" s="185" t="str">
        <f t="shared" si="2"/>
        <v/>
      </c>
      <c r="S79" s="185" t="str">
        <f>IF($F79&lt;&gt;"",_xlfn.XLOOKUP($B79,TAccnt[Item],TAccnt[Account Code],"",0,1),"")</f>
        <v/>
      </c>
      <c r="T79" s="185" t="str">
        <f>IF($F79&lt;&gt;"",IF($S79=640001,_xlfn.XLOOKUP($B79,TAccnt[Item],TAccnt[AUX Program Code],),"98001"),"")</f>
        <v/>
      </c>
      <c r="U79" s="1" t="str" cm="1">
        <f t="array" ref="U79">IF($F79&lt;&gt;"",Indices2Class($E$8,$G79),"")</f>
        <v/>
      </c>
      <c r="V79" s="185" t="str">
        <f t="shared" si="3"/>
        <v/>
      </c>
      <c r="W79" s="244" t="str">
        <f t="shared" si="5"/>
        <v/>
      </c>
      <c r="Z79" s="208" t="str">
        <f>IF(Template!$AF79&lt;&gt;"","30000","")</f>
        <v/>
      </c>
      <c r="AA79" s="185" t="str">
        <f>IF(Template!$AF79&lt;&gt;"","11601","")</f>
        <v/>
      </c>
      <c r="AB79" s="185" t="str">
        <f>IF($AF79&lt;&gt;"",_xlfn.XLOOKUP($B79,TAccnt[Item],TAccnt[Account Code],"",0,1),"")</f>
        <v/>
      </c>
      <c r="AC79" s="185" t="str">
        <f>IF($AF79&lt;&gt;"",IF($AB79=640001,_xlfn.XLOOKUP($B79,TAccnt[Item],TAccnt[AUX Program Code],),"98001"),"")</f>
        <v/>
      </c>
      <c r="AD79" s="1" t="str" cm="1">
        <f t="array" ref="AD79">IF($AF79&lt;&gt;"",Indices2Class($E$8,$I79),"")</f>
        <v/>
      </c>
      <c r="AE79" s="185" t="str">
        <f>IF(Template!$AF79&lt;&gt;"","305102","")</f>
        <v/>
      </c>
      <c r="AF79" s="244" t="str">
        <f t="shared" si="6"/>
        <v/>
      </c>
      <c r="AH79" s="210" t="str">
        <f>IF($F79&lt;&gt;"",IF(Template!$W79+IF(Template!$AF79&lt;&gt;"",Template!$AF79,0)=$F79,TRUE,FALSE),"")</f>
        <v/>
      </c>
    </row>
    <row r="80" spans="2:34" ht="16" x14ac:dyDescent="0.2">
      <c r="B80" s="329" t="s">
        <v>126</v>
      </c>
      <c r="C80" s="330"/>
      <c r="D80" s="330"/>
      <c r="E80" s="331"/>
      <c r="F80" s="176"/>
      <c r="G80" s="177"/>
      <c r="H80" s="175"/>
      <c r="I80" s="178"/>
      <c r="J80" s="180" t="str">
        <f t="shared" si="4"/>
        <v/>
      </c>
      <c r="K80" s="289"/>
      <c r="L80" s="381"/>
      <c r="M80" s="382"/>
      <c r="N80" s="382"/>
      <c r="O80" s="383"/>
      <c r="Q80" s="211" t="str">
        <f t="shared" si="1"/>
        <v/>
      </c>
      <c r="R80" s="212" t="str">
        <f t="shared" si="2"/>
        <v/>
      </c>
      <c r="S80" s="212" t="str">
        <f>IF($F80&lt;&gt;"",_xlfn.XLOOKUP($B80,TAccnt[Item],TAccnt[Account Code],"",0,1),"")</f>
        <v/>
      </c>
      <c r="T80" s="212" t="str">
        <f>IF($F80&lt;&gt;"",IF($S80=640001,_xlfn.XLOOKUP($B80,TAccnt[Item],TAccnt[AUX Program Code],),"98001"),"")</f>
        <v/>
      </c>
      <c r="U80" s="213" t="str" cm="1">
        <f t="array" ref="U80">IF($F80&lt;&gt;"",Indices2Class($E$8,$G80),"")</f>
        <v/>
      </c>
      <c r="V80" s="212" t="str">
        <f t="shared" si="3"/>
        <v/>
      </c>
      <c r="W80" s="245" t="str">
        <f t="shared" si="5"/>
        <v/>
      </c>
      <c r="Z80" s="211" t="str">
        <f>IF(Template!$AF80&lt;&gt;"","30000","")</f>
        <v/>
      </c>
      <c r="AA80" s="212" t="str">
        <f>IF(Template!$AF80&lt;&gt;"","11601","")</f>
        <v/>
      </c>
      <c r="AB80" s="212" t="str">
        <f>IF($AF80&lt;&gt;"",_xlfn.XLOOKUP($B80,TAccnt[Item],TAccnt[Account Code],"",0,1),"")</f>
        <v/>
      </c>
      <c r="AC80" s="212" t="str">
        <f>IF($AF80&lt;&gt;"",IF($AB80=640001,_xlfn.XLOOKUP($B80,TAccnt[Item],TAccnt[AUX Program Code],),"98001"),"")</f>
        <v/>
      </c>
      <c r="AD80" s="213" t="str" cm="1">
        <f t="array" ref="AD80">IF($AF80&lt;&gt;"",Indices2Class($E$8,$I80),"")</f>
        <v/>
      </c>
      <c r="AE80" s="212" t="str">
        <f>IF(Template!$AF80&lt;&gt;"","305102","")</f>
        <v/>
      </c>
      <c r="AF80" s="245" t="str">
        <f t="shared" si="6"/>
        <v/>
      </c>
      <c r="AH80" s="215" t="str">
        <f>IF($F80&lt;&gt;"",IF(Template!$W80+IF(Template!$AF80&lt;&gt;"",Template!$AF80,0)=$F80,TRUE,FALSE),"")</f>
        <v/>
      </c>
    </row>
    <row r="81" spans="2:34" ht="16" x14ac:dyDescent="0.2">
      <c r="B81" s="329" t="s">
        <v>128</v>
      </c>
      <c r="C81" s="330"/>
      <c r="D81" s="330"/>
      <c r="E81" s="331"/>
      <c r="F81" s="176"/>
      <c r="G81" s="177"/>
      <c r="H81" s="175"/>
      <c r="I81" s="178"/>
      <c r="J81" s="180" t="str">
        <f t="shared" si="4"/>
        <v/>
      </c>
      <c r="K81" s="289"/>
      <c r="L81" s="381"/>
      <c r="M81" s="382"/>
      <c r="N81" s="382"/>
      <c r="O81" s="383"/>
      <c r="Q81" s="208" t="str">
        <f t="shared" si="1"/>
        <v/>
      </c>
      <c r="R81" s="185" t="str">
        <f t="shared" si="2"/>
        <v/>
      </c>
      <c r="S81" s="185" t="str">
        <f>IF($F81&lt;&gt;"",_xlfn.XLOOKUP($B81,TAccnt[Item],TAccnt[Account Code],"",0,1),"")</f>
        <v/>
      </c>
      <c r="T81" s="185" t="str">
        <f>IF($F81&lt;&gt;"",IF($S81=640001,_xlfn.XLOOKUP($B81,TAccnt[Item],TAccnt[AUX Program Code],),"98001"),"")</f>
        <v/>
      </c>
      <c r="U81" s="1" t="str" cm="1">
        <f t="array" ref="U81">IF($F81&lt;&gt;"",Indices2Class($E$8,$G81),"")</f>
        <v/>
      </c>
      <c r="V81" s="185" t="str">
        <f t="shared" si="3"/>
        <v/>
      </c>
      <c r="W81" s="244" t="str">
        <f t="shared" si="5"/>
        <v/>
      </c>
      <c r="Z81" s="208" t="str">
        <f>IF(Template!$AF81&lt;&gt;"","30000","")</f>
        <v/>
      </c>
      <c r="AA81" s="185" t="str">
        <f>IF(Template!$AF81&lt;&gt;"","11601","")</f>
        <v/>
      </c>
      <c r="AB81" s="185" t="str">
        <f>IF($AF81&lt;&gt;"",_xlfn.XLOOKUP($B81,TAccnt[Item],TAccnt[Account Code],"",0,1),"")</f>
        <v/>
      </c>
      <c r="AC81" s="185" t="str">
        <f>IF($AF81&lt;&gt;"",IF($AB81=640001,_xlfn.XLOOKUP($B81,TAccnt[Item],TAccnt[AUX Program Code],),"98001"),"")</f>
        <v/>
      </c>
      <c r="AD81" s="1" t="str" cm="1">
        <f t="array" ref="AD81">IF($AF81&lt;&gt;"",Indices2Class($E$8,$I81),"")</f>
        <v/>
      </c>
      <c r="AE81" s="185" t="str">
        <f>IF(Template!$AF81&lt;&gt;"","305102","")</f>
        <v/>
      </c>
      <c r="AF81" s="244" t="str">
        <f t="shared" si="6"/>
        <v/>
      </c>
      <c r="AH81" s="210" t="str">
        <f>IF($F81&lt;&gt;"",IF(Template!$W81+IF(Template!$AF81&lt;&gt;"",Template!$AF81,0)=$F81,TRUE,FALSE),"")</f>
        <v/>
      </c>
    </row>
    <row r="82" spans="2:34" ht="16" x14ac:dyDescent="0.2">
      <c r="B82" s="329" t="s">
        <v>130</v>
      </c>
      <c r="C82" s="330"/>
      <c r="D82" s="330"/>
      <c r="E82" s="331"/>
      <c r="F82" s="176"/>
      <c r="G82" s="177"/>
      <c r="H82" s="175"/>
      <c r="I82" s="178"/>
      <c r="J82" s="180" t="str">
        <f t="shared" si="4"/>
        <v/>
      </c>
      <c r="K82" s="289"/>
      <c r="L82" s="381"/>
      <c r="M82" s="382"/>
      <c r="N82" s="382"/>
      <c r="O82" s="383"/>
      <c r="Q82" s="211" t="str">
        <f t="shared" si="1"/>
        <v/>
      </c>
      <c r="R82" s="212" t="str">
        <f t="shared" si="2"/>
        <v/>
      </c>
      <c r="S82" s="212" t="str">
        <f>IF($F82&lt;&gt;"",_xlfn.XLOOKUP($B82,TAccnt[Item],TAccnt[Account Code],"",0,1),"")</f>
        <v/>
      </c>
      <c r="T82" s="212" t="str">
        <f>IF($F82&lt;&gt;"",IF($S82=640001,_xlfn.XLOOKUP($B82,TAccnt[Item],TAccnt[AUX Program Code],),"98001"),"")</f>
        <v/>
      </c>
      <c r="U82" s="213" t="str" cm="1">
        <f t="array" ref="U82">IF($F82&lt;&gt;"",Indices2Class($E$8,$G82),"")</f>
        <v/>
      </c>
      <c r="V82" s="212" t="str">
        <f t="shared" si="3"/>
        <v/>
      </c>
      <c r="W82" s="245" t="str">
        <f t="shared" si="5"/>
        <v/>
      </c>
      <c r="Z82" s="211" t="str">
        <f>IF(Template!$AF82&lt;&gt;"","30000","")</f>
        <v/>
      </c>
      <c r="AA82" s="212" t="str">
        <f>IF(Template!$AF82&lt;&gt;"","11601","")</f>
        <v/>
      </c>
      <c r="AB82" s="212" t="str">
        <f>IF($AF82&lt;&gt;"",_xlfn.XLOOKUP($B82,TAccnt[Item],TAccnt[Account Code],"",0,1),"")</f>
        <v/>
      </c>
      <c r="AC82" s="212" t="str">
        <f>IF($AF82&lt;&gt;"",IF($AB82=640001,_xlfn.XLOOKUP($B82,TAccnt[Item],TAccnt[AUX Program Code],),"98001"),"")</f>
        <v/>
      </c>
      <c r="AD82" s="213" t="str" cm="1">
        <f t="array" ref="AD82">IF($AF82&lt;&gt;"",Indices2Class($E$8,$I82),"")</f>
        <v/>
      </c>
      <c r="AE82" s="212" t="str">
        <f>IF(Template!$AF82&lt;&gt;"","305102","")</f>
        <v/>
      </c>
      <c r="AF82" s="245" t="str">
        <f t="shared" si="6"/>
        <v/>
      </c>
      <c r="AH82" s="215" t="str">
        <f>IF($F82&lt;&gt;"",IF(Template!$W82+IF(Template!$AF82&lt;&gt;"",Template!$AF82,0)=$F82,TRUE,FALSE),"")</f>
        <v/>
      </c>
    </row>
    <row r="83" spans="2:34" ht="16" x14ac:dyDescent="0.2">
      <c r="B83" s="329" t="s">
        <v>134</v>
      </c>
      <c r="C83" s="330"/>
      <c r="D83" s="330"/>
      <c r="E83" s="331"/>
      <c r="F83" s="176"/>
      <c r="G83" s="177"/>
      <c r="H83" s="175"/>
      <c r="I83" s="178"/>
      <c r="J83" s="180" t="str">
        <f t="shared" si="4"/>
        <v/>
      </c>
      <c r="K83" s="289"/>
      <c r="L83" s="381"/>
      <c r="M83" s="382"/>
      <c r="N83" s="382"/>
      <c r="O83" s="383"/>
      <c r="Q83" s="208" t="str">
        <f t="shared" si="1"/>
        <v/>
      </c>
      <c r="R83" s="185" t="str">
        <f t="shared" si="2"/>
        <v/>
      </c>
      <c r="S83" s="185" t="str">
        <f>IF($F83&lt;&gt;"",_xlfn.XLOOKUP($B83,TAccnt[Item],TAccnt[Account Code],"",0,1),"")</f>
        <v/>
      </c>
      <c r="T83" s="185" t="str">
        <f>IF($F83&lt;&gt;"",IF($S83=640001,_xlfn.XLOOKUP($B83,TAccnt[Item],TAccnt[AUX Program Code],),"98001"),"")</f>
        <v/>
      </c>
      <c r="U83" s="1" t="str" cm="1">
        <f t="array" ref="U83">IF($F83&lt;&gt;"",Indices2Class($E$8,$G83),"")</f>
        <v/>
      </c>
      <c r="V83" s="185" t="str">
        <f t="shared" si="3"/>
        <v/>
      </c>
      <c r="W83" s="244" t="str">
        <f t="shared" si="5"/>
        <v/>
      </c>
      <c r="Z83" s="208" t="str">
        <f>IF(Template!$AF83&lt;&gt;"","30000","")</f>
        <v/>
      </c>
      <c r="AA83" s="185" t="str">
        <f>IF(Template!$AF83&lt;&gt;"","11601","")</f>
        <v/>
      </c>
      <c r="AB83" s="185" t="str">
        <f>IF($AF83&lt;&gt;"",_xlfn.XLOOKUP($B83,TAccnt[Item],TAccnt[Account Code],"",0,1),"")</f>
        <v/>
      </c>
      <c r="AC83" s="185" t="str">
        <f>IF($AF83&lt;&gt;"",IF($AB83=640001,_xlfn.XLOOKUP($B83,TAccnt[Item],TAccnt[AUX Program Code],),"98001"),"")</f>
        <v/>
      </c>
      <c r="AD83" s="1" t="str" cm="1">
        <f t="array" ref="AD83">IF($AF83&lt;&gt;"",Indices2Class($E$8,$I83),"")</f>
        <v/>
      </c>
      <c r="AE83" s="185" t="str">
        <f>IF(Template!$AF83&lt;&gt;"","305102","")</f>
        <v/>
      </c>
      <c r="AF83" s="244" t="str">
        <f t="shared" si="6"/>
        <v/>
      </c>
      <c r="AH83" s="210" t="str">
        <f>IF($F83&lt;&gt;"",IF(Template!$W83+IF(Template!$AF83&lt;&gt;"",Template!$AF83,0)=$F83,TRUE,FALSE),"")</f>
        <v/>
      </c>
    </row>
    <row r="84" spans="2:34" ht="16" x14ac:dyDescent="0.2">
      <c r="B84" s="329" t="s">
        <v>137</v>
      </c>
      <c r="C84" s="330"/>
      <c r="D84" s="330"/>
      <c r="E84" s="331"/>
      <c r="F84" s="176"/>
      <c r="G84" s="177"/>
      <c r="H84" s="175"/>
      <c r="I84" s="178"/>
      <c r="J84" s="180" t="str">
        <f t="shared" si="4"/>
        <v/>
      </c>
      <c r="K84" s="289"/>
      <c r="L84" s="381"/>
      <c r="M84" s="382"/>
      <c r="N84" s="382"/>
      <c r="O84" s="383"/>
      <c r="Q84" s="211" t="str">
        <f t="shared" si="1"/>
        <v/>
      </c>
      <c r="R84" s="212" t="str">
        <f t="shared" si="2"/>
        <v/>
      </c>
      <c r="S84" s="212" t="str">
        <f>IF($F84&lt;&gt;"",_xlfn.XLOOKUP($B84,TAccnt[Item],TAccnt[Account Code],"",0,1),"")</f>
        <v/>
      </c>
      <c r="T84" s="212" t="str">
        <f>IF($F84&lt;&gt;"",IF($S84=640001,_xlfn.XLOOKUP($B84,TAccnt[Item],TAccnt[AUX Program Code],),"98001"),"")</f>
        <v/>
      </c>
      <c r="U84" s="213" t="str" cm="1">
        <f t="array" ref="U84">IF($F84&lt;&gt;"",Indices2Class($E$8,$G84),"")</f>
        <v/>
      </c>
      <c r="V84" s="212" t="str">
        <f t="shared" si="3"/>
        <v/>
      </c>
      <c r="W84" s="245" t="str">
        <f t="shared" si="5"/>
        <v/>
      </c>
      <c r="Z84" s="211" t="str">
        <f>IF(Template!$AF84&lt;&gt;"","30000","")</f>
        <v/>
      </c>
      <c r="AA84" s="212" t="str">
        <f>IF(Template!$AF84&lt;&gt;"","11601","")</f>
        <v/>
      </c>
      <c r="AB84" s="212" t="str">
        <f>IF($AF84&lt;&gt;"",_xlfn.XLOOKUP($B84,TAccnt[Item],TAccnt[Account Code],"",0,1),"")</f>
        <v/>
      </c>
      <c r="AC84" s="212" t="str">
        <f>IF($AF84&lt;&gt;"",IF($AB84=640001,_xlfn.XLOOKUP($B84,TAccnt[Item],TAccnt[AUX Program Code],),"98001"),"")</f>
        <v/>
      </c>
      <c r="AD84" s="213" t="str" cm="1">
        <f t="array" ref="AD84">IF($AF84&lt;&gt;"",Indices2Class($E$8,$I84),"")</f>
        <v/>
      </c>
      <c r="AE84" s="212" t="str">
        <f>IF(Template!$AF84&lt;&gt;"","305102","")</f>
        <v/>
      </c>
      <c r="AF84" s="245" t="str">
        <f t="shared" si="6"/>
        <v/>
      </c>
      <c r="AH84" s="215" t="str">
        <f>IF($F84&lt;&gt;"",IF(Template!$W84+IF(Template!$AF84&lt;&gt;"",Template!$AF84,0)=$F84,TRUE,FALSE),"")</f>
        <v/>
      </c>
    </row>
    <row r="85" spans="2:34" ht="16" x14ac:dyDescent="0.2">
      <c r="B85" s="329" t="s">
        <v>139</v>
      </c>
      <c r="C85" s="330"/>
      <c r="D85" s="330"/>
      <c r="E85" s="331"/>
      <c r="F85" s="176"/>
      <c r="G85" s="177"/>
      <c r="H85" s="175"/>
      <c r="I85" s="178"/>
      <c r="J85" s="180" t="str">
        <f t="shared" si="4"/>
        <v/>
      </c>
      <c r="K85" s="289"/>
      <c r="L85" s="381"/>
      <c r="M85" s="382"/>
      <c r="N85" s="382"/>
      <c r="O85" s="383"/>
      <c r="Q85" s="208" t="str">
        <f t="shared" si="1"/>
        <v/>
      </c>
      <c r="R85" s="185" t="str">
        <f t="shared" si="2"/>
        <v/>
      </c>
      <c r="S85" s="185" t="str">
        <f>IF($F85&lt;&gt;"",_xlfn.XLOOKUP($B85,TAccnt[Item],TAccnt[Account Code],"",0,1),"")</f>
        <v/>
      </c>
      <c r="T85" s="185" t="str">
        <f>IF($F85&lt;&gt;"",IF($S85=640001,_xlfn.XLOOKUP($B85,TAccnt[Item],TAccnt[AUX Program Code],),"98001"),"")</f>
        <v/>
      </c>
      <c r="U85" s="1" t="str" cm="1">
        <f t="array" ref="U85">IF($F85&lt;&gt;"",Indices2Class($E$8,$G85),"")</f>
        <v/>
      </c>
      <c r="V85" s="185" t="str">
        <f t="shared" si="3"/>
        <v/>
      </c>
      <c r="W85" s="244" t="str">
        <f t="shared" si="5"/>
        <v/>
      </c>
      <c r="Z85" s="208" t="str">
        <f>IF(Template!$AF85&lt;&gt;"","30000","")</f>
        <v/>
      </c>
      <c r="AA85" s="185" t="str">
        <f>IF(Template!$AF85&lt;&gt;"","11601","")</f>
        <v/>
      </c>
      <c r="AB85" s="185" t="str">
        <f>IF($AF85&lt;&gt;"",_xlfn.XLOOKUP($B85,TAccnt[Item],TAccnt[Account Code],"",0,1),"")</f>
        <v/>
      </c>
      <c r="AC85" s="185" t="str">
        <f>IF($AF85&lt;&gt;"",IF($AB85=640001,_xlfn.XLOOKUP($B85,TAccnt[Item],TAccnt[AUX Program Code],),"98001"),"")</f>
        <v/>
      </c>
      <c r="AD85" s="1" t="str" cm="1">
        <f t="array" ref="AD85">IF($AF85&lt;&gt;"",Indices2Class($E$8,$I85),"")</f>
        <v/>
      </c>
      <c r="AE85" s="185" t="str">
        <f>IF(Template!$AF85&lt;&gt;"","305102","")</f>
        <v/>
      </c>
      <c r="AF85" s="244" t="str">
        <f t="shared" si="6"/>
        <v/>
      </c>
      <c r="AH85" s="210" t="str">
        <f>IF($F85&lt;&gt;"",IF(Template!$W85+IF(Template!$AF85&lt;&gt;"",Template!$AF85,0)=$F85,TRUE,FALSE),"")</f>
        <v/>
      </c>
    </row>
    <row r="86" spans="2:34" ht="17" thickBot="1" x14ac:dyDescent="0.25">
      <c r="B86" s="366" t="s">
        <v>140</v>
      </c>
      <c r="C86" s="367"/>
      <c r="D86" s="367"/>
      <c r="E86" s="368"/>
      <c r="F86" s="163"/>
      <c r="G86" s="165"/>
      <c r="H86" s="288"/>
      <c r="I86" s="166"/>
      <c r="J86" s="262" t="str">
        <f t="shared" si="4"/>
        <v/>
      </c>
      <c r="K86" s="184"/>
      <c r="L86" s="388"/>
      <c r="M86" s="389"/>
      <c r="N86" s="389"/>
      <c r="O86" s="390"/>
      <c r="Q86" s="217" t="str">
        <f t="shared" si="1"/>
        <v/>
      </c>
      <c r="R86" s="218" t="str">
        <f t="shared" si="2"/>
        <v/>
      </c>
      <c r="S86" s="218" t="str">
        <f>IF($F86&lt;&gt;"",_xlfn.XLOOKUP($B86,TAccnt[Item],TAccnt[Account Code],"",0,1),"")</f>
        <v/>
      </c>
      <c r="T86" s="218" t="str">
        <f>IF($F86&lt;&gt;"",IF($S86=640001,_xlfn.XLOOKUP($B86,TAccnt[Item],TAccnt[AUX Program Code],),"98001"),"")</f>
        <v/>
      </c>
      <c r="U86" s="219" t="str" cm="1">
        <f t="array" ref="U86">IF($F86&lt;&gt;"",Indices2Class($E$8,$G86),"")</f>
        <v/>
      </c>
      <c r="V86" s="218" t="str">
        <f t="shared" si="3"/>
        <v/>
      </c>
      <c r="W86" s="246" t="str">
        <f t="shared" si="5"/>
        <v/>
      </c>
      <c r="Z86" s="217" t="str">
        <f>IF(Template!$AF86&lt;&gt;"","30000","")</f>
        <v/>
      </c>
      <c r="AA86" s="218" t="str">
        <f>IF(Template!$AF86&lt;&gt;"","11601","")</f>
        <v/>
      </c>
      <c r="AB86" s="218" t="str">
        <f>IF($AF86&lt;&gt;"",_xlfn.XLOOKUP($B86,TAccnt[Item],TAccnt[Account Code],"",0,1),"")</f>
        <v/>
      </c>
      <c r="AC86" s="218" t="str">
        <f>IF($AF86&lt;&gt;"",IF($AB86=640001,_xlfn.XLOOKUP($B86,TAccnt[Item],TAccnt[AUX Program Code],),"98001"),"")</f>
        <v/>
      </c>
      <c r="AD86" s="219" t="str" cm="1">
        <f t="array" ref="AD86">IF($AF86&lt;&gt;"",Indices2Class($E$8,$I86),"")</f>
        <v/>
      </c>
      <c r="AE86" s="218" t="str">
        <f>IF(Template!$AF86&lt;&gt;"","305102","")</f>
        <v/>
      </c>
      <c r="AF86" s="246" t="str">
        <f t="shared" si="6"/>
        <v/>
      </c>
      <c r="AH86" s="221" t="str">
        <f>IF($F86&lt;&gt;"",IF(Template!$W86+IF(Template!$AF86&lt;&gt;"",Template!$AF86,0)=$F86,TRUE,FALSE),"")</f>
        <v/>
      </c>
    </row>
    <row r="87" spans="2:34" ht="15" x14ac:dyDescent="0.2">
      <c r="C87" s="247"/>
      <c r="D87" s="247"/>
      <c r="E87" s="189"/>
      <c r="F87" s="263"/>
      <c r="G87" s="264"/>
      <c r="H87" s="264"/>
      <c r="I87" s="264"/>
    </row>
    <row r="88" spans="2:34" ht="15" x14ac:dyDescent="0.2">
      <c r="C88" s="247"/>
      <c r="D88" s="247"/>
      <c r="E88" s="189"/>
      <c r="F88" s="263"/>
      <c r="G88" s="264"/>
      <c r="H88" s="264"/>
      <c r="I88" s="264"/>
    </row>
    <row r="89" spans="2:34" ht="15" x14ac:dyDescent="0.2">
      <c r="C89" s="247"/>
      <c r="D89" s="247"/>
      <c r="E89" s="189"/>
      <c r="F89" s="263"/>
      <c r="G89" s="264"/>
      <c r="H89" s="264"/>
      <c r="I89" s="264"/>
    </row>
    <row r="90" spans="2:34" ht="15" x14ac:dyDescent="0.2">
      <c r="C90" s="189"/>
      <c r="D90" s="189"/>
      <c r="E90" s="189"/>
      <c r="F90" s="189"/>
      <c r="G90" s="190"/>
      <c r="H90" s="190"/>
      <c r="I90" s="190"/>
    </row>
    <row r="91" spans="2:34" ht="17" thickBot="1" x14ac:dyDescent="0.25">
      <c r="B91" s="191" t="s">
        <v>192</v>
      </c>
      <c r="C91" s="247"/>
      <c r="D91" s="194"/>
      <c r="E91" s="249"/>
      <c r="F91" s="249"/>
      <c r="G91" s="249"/>
      <c r="H91" s="249"/>
      <c r="I91" s="249"/>
      <c r="J91" s="249"/>
    </row>
    <row r="92" spans="2:34" ht="15" thickBot="1" x14ac:dyDescent="0.2">
      <c r="B92" s="250" t="s">
        <v>190</v>
      </c>
      <c r="C92" s="251"/>
      <c r="D92" s="251"/>
      <c r="E92" s="252"/>
      <c r="F92" s="265" t="s">
        <v>181</v>
      </c>
      <c r="G92" s="135"/>
      <c r="H92" s="135"/>
      <c r="I92" s="135"/>
      <c r="J92" s="135"/>
      <c r="Q92" s="197" t="s">
        <v>176</v>
      </c>
      <c r="R92" s="198" t="s">
        <v>177</v>
      </c>
      <c r="S92" s="198" t="s">
        <v>178</v>
      </c>
      <c r="T92" s="198" t="s">
        <v>179</v>
      </c>
      <c r="U92" s="198" t="s">
        <v>180</v>
      </c>
      <c r="V92" s="198" t="s">
        <v>7</v>
      </c>
      <c r="W92" s="199" t="s">
        <v>181</v>
      </c>
    </row>
    <row r="93" spans="2:34" ht="17" thickTop="1" x14ac:dyDescent="0.2">
      <c r="B93" s="329" t="s">
        <v>142</v>
      </c>
      <c r="C93" s="330"/>
      <c r="D93" s="330"/>
      <c r="E93" s="331"/>
      <c r="F93" s="159"/>
      <c r="G93" s="266"/>
      <c r="H93" s="1"/>
      <c r="I93" s="266"/>
      <c r="J93" s="243"/>
      <c r="K93" s="74"/>
      <c r="L93" s="74"/>
      <c r="M93" s="74"/>
      <c r="N93" s="74"/>
      <c r="O93" s="74"/>
      <c r="Q93" s="202" t="str">
        <f>IF($F93&lt;&gt;"","31000","")</f>
        <v/>
      </c>
      <c r="R93" s="203" t="str">
        <f t="shared" ref="R93:R97" si="7">IF($F93&lt;&gt;"","11601","")</f>
        <v/>
      </c>
      <c r="S93" s="203" t="str">
        <f>IF($F93&lt;&gt;"",_xlfn.XLOOKUP($B93,TAccnt[Item],TAccnt[Account Code],"",0,1),"")</f>
        <v/>
      </c>
      <c r="T93" s="203" t="str">
        <f>IF($F93&lt;&gt;"","98001","")</f>
        <v/>
      </c>
      <c r="U93" s="204" t="str" cm="1">
        <f t="array" ref="U93">IF(F93&lt;&gt;"",Indices2Class($E$8,"ICR"),"")</f>
        <v/>
      </c>
      <c r="V93" s="203" t="str">
        <f>IF($F93&lt;&gt;"","305104","")</f>
        <v/>
      </c>
      <c r="W93" s="257" t="str">
        <f t="shared" ref="W93:W97" si="8">IF($F93&lt;&gt;"",$F93,"")</f>
        <v/>
      </c>
    </row>
    <row r="94" spans="2:34" ht="16" x14ac:dyDescent="0.2">
      <c r="B94" s="329" t="s">
        <v>143</v>
      </c>
      <c r="C94" s="330"/>
      <c r="D94" s="330"/>
      <c r="E94" s="331"/>
      <c r="F94" s="168"/>
      <c r="G94" s="266"/>
      <c r="H94" s="1"/>
      <c r="I94" s="266"/>
      <c r="J94" s="243"/>
      <c r="K94" s="74"/>
      <c r="L94" s="74"/>
      <c r="M94" s="74"/>
      <c r="N94" s="74"/>
      <c r="O94" s="74"/>
      <c r="Q94" s="208" t="str">
        <f t="shared" ref="Q94:Q97" si="9">IF($F94&lt;&gt;"","31000","")</f>
        <v/>
      </c>
      <c r="R94" s="185" t="str">
        <f t="shared" si="7"/>
        <v/>
      </c>
      <c r="S94" s="185" t="str">
        <f>IF($F94&lt;&gt;"",_xlfn.XLOOKUP($B94,TAccnt[Item],TAccnt[Account Code],"",0,1),"")</f>
        <v/>
      </c>
      <c r="T94" s="185" t="str">
        <f t="shared" ref="T94:T97" si="10">IF($F94&lt;&gt;"","98001","")</f>
        <v/>
      </c>
      <c r="U94" s="1" t="str" cm="1">
        <f t="array" ref="U94">IF(F94&lt;&gt;"",Indices2Class($E$8,"ICR"),"")</f>
        <v/>
      </c>
      <c r="V94" s="185" t="str">
        <f t="shared" ref="V94:V97" si="11">IF($F94&lt;&gt;"","305104","")</f>
        <v/>
      </c>
      <c r="W94" s="244" t="str">
        <f t="shared" si="8"/>
        <v/>
      </c>
    </row>
    <row r="95" spans="2:34" ht="16" x14ac:dyDescent="0.2">
      <c r="B95" s="329" t="s">
        <v>144</v>
      </c>
      <c r="C95" s="330"/>
      <c r="D95" s="330"/>
      <c r="E95" s="331"/>
      <c r="F95" s="168"/>
      <c r="H95" s="1"/>
      <c r="I95" s="266"/>
      <c r="J95" s="243"/>
      <c r="K95" s="74"/>
      <c r="Q95" s="211" t="str">
        <f t="shared" si="9"/>
        <v/>
      </c>
      <c r="R95" s="212" t="str">
        <f t="shared" si="7"/>
        <v/>
      </c>
      <c r="S95" s="212" t="str">
        <f>IF($F95&lt;&gt;"",_xlfn.XLOOKUP($B95,TAccnt[Item],TAccnt[Account Code],"",0,1),"")</f>
        <v/>
      </c>
      <c r="T95" s="212" t="str">
        <f t="shared" si="10"/>
        <v/>
      </c>
      <c r="U95" s="213" t="str" cm="1">
        <f t="array" ref="U95">IF(F95&lt;&gt;"",Indices2Class($E$8,"ICR"),"")</f>
        <v/>
      </c>
      <c r="V95" s="212" t="str">
        <f t="shared" si="11"/>
        <v/>
      </c>
      <c r="W95" s="245" t="str">
        <f t="shared" si="8"/>
        <v/>
      </c>
    </row>
    <row r="96" spans="2:34" ht="16" x14ac:dyDescent="0.2">
      <c r="B96" s="329" t="s">
        <v>145</v>
      </c>
      <c r="C96" s="330"/>
      <c r="D96" s="330"/>
      <c r="E96" s="331"/>
      <c r="F96" s="168"/>
      <c r="H96" s="1"/>
      <c r="I96" s="266"/>
      <c r="J96" s="243"/>
      <c r="K96" s="74"/>
      <c r="Q96" s="208" t="str">
        <f t="shared" si="9"/>
        <v/>
      </c>
      <c r="R96" s="185" t="str">
        <f t="shared" si="7"/>
        <v/>
      </c>
      <c r="S96" s="185" t="str">
        <f>IF($F96&lt;&gt;"",_xlfn.XLOOKUP($B96,TAccnt[Item],TAccnt[Account Code],"",0,1),"")</f>
        <v/>
      </c>
      <c r="T96" s="185" t="str">
        <f t="shared" si="10"/>
        <v/>
      </c>
      <c r="U96" s="1" t="str" cm="1">
        <f t="array" ref="U96">IF(F96&lt;&gt;"",Indices2Class($E$8,"ICR"),"")</f>
        <v/>
      </c>
      <c r="V96" s="185" t="str">
        <f t="shared" si="11"/>
        <v/>
      </c>
      <c r="W96" s="244" t="str">
        <f t="shared" si="8"/>
        <v/>
      </c>
    </row>
    <row r="97" spans="1:26" ht="17" thickBot="1" x14ac:dyDescent="0.25">
      <c r="B97" s="366" t="s">
        <v>146</v>
      </c>
      <c r="C97" s="367"/>
      <c r="D97" s="367"/>
      <c r="E97" s="368"/>
      <c r="F97" s="167"/>
      <c r="H97" s="1"/>
      <c r="I97" s="266"/>
      <c r="J97" s="243"/>
      <c r="K97" s="74"/>
      <c r="Q97" s="217" t="str">
        <f t="shared" si="9"/>
        <v/>
      </c>
      <c r="R97" s="218" t="str">
        <f t="shared" si="7"/>
        <v/>
      </c>
      <c r="S97" s="218" t="str">
        <f>IF($F97&lt;&gt;"",_xlfn.XLOOKUP($B97,TAccnt[Item],TAccnt[Account Code],"",0,1),"")</f>
        <v/>
      </c>
      <c r="T97" s="218" t="str">
        <f t="shared" si="10"/>
        <v/>
      </c>
      <c r="U97" s="219" t="str" cm="1">
        <f t="array" ref="U97">IF(F97&lt;&gt;"",Indices2Class($E$8,"ICR"),"")</f>
        <v/>
      </c>
      <c r="V97" s="218" t="str">
        <f t="shared" si="11"/>
        <v/>
      </c>
      <c r="W97" s="246" t="str">
        <f t="shared" si="8"/>
        <v/>
      </c>
    </row>
    <row r="98" spans="1:26" ht="15" x14ac:dyDescent="0.2">
      <c r="C98" s="247"/>
      <c r="D98" s="247"/>
      <c r="E98" s="189"/>
      <c r="F98" s="263"/>
      <c r="G98" s="264"/>
      <c r="H98" s="264"/>
      <c r="I98" s="264"/>
    </row>
    <row r="99" spans="1:26" ht="15" x14ac:dyDescent="0.2">
      <c r="C99" s="247"/>
      <c r="D99" s="247"/>
      <c r="E99" s="189"/>
      <c r="F99" s="263"/>
      <c r="G99" s="264"/>
      <c r="H99" s="264"/>
      <c r="I99" s="264"/>
    </row>
    <row r="100" spans="1:26" ht="17" thickBot="1" x14ac:dyDescent="0.25">
      <c r="B100" s="191" t="s">
        <v>193</v>
      </c>
      <c r="C100" s="247"/>
      <c r="D100" s="247"/>
      <c r="E100" s="267"/>
      <c r="F100" s="268"/>
      <c r="G100" s="269"/>
      <c r="H100" s="269"/>
      <c r="I100" s="269"/>
    </row>
    <row r="101" spans="1:26" ht="17" thickBot="1" x14ac:dyDescent="0.25">
      <c r="B101" s="270"/>
      <c r="C101" s="271"/>
      <c r="D101" s="250" t="s">
        <v>181</v>
      </c>
      <c r="E101" s="343" t="s">
        <v>194</v>
      </c>
      <c r="F101" s="344"/>
      <c r="G101" s="344"/>
      <c r="H101" s="344"/>
      <c r="I101" s="345"/>
    </row>
    <row r="102" spans="1:26" ht="16" x14ac:dyDescent="0.2">
      <c r="B102" s="258" t="s">
        <v>195</v>
      </c>
      <c r="C102" s="259"/>
      <c r="D102" s="150"/>
      <c r="E102" s="346"/>
      <c r="F102" s="347"/>
      <c r="G102" s="347"/>
      <c r="H102" s="347"/>
      <c r="I102" s="348"/>
    </row>
    <row r="103" spans="1:26" ht="17" thickBot="1" x14ac:dyDescent="0.25">
      <c r="B103" s="260" t="s">
        <v>196</v>
      </c>
      <c r="C103" s="261"/>
      <c r="D103" s="290"/>
      <c r="E103" s="349"/>
      <c r="F103" s="350"/>
      <c r="G103" s="350"/>
      <c r="H103" s="350"/>
      <c r="I103" s="351"/>
    </row>
    <row r="104" spans="1:26" ht="17" thickBot="1" x14ac:dyDescent="0.25">
      <c r="B104" s="272"/>
      <c r="C104" s="272"/>
      <c r="D104" s="272"/>
      <c r="E104" s="272"/>
      <c r="F104" s="273"/>
      <c r="G104" s="264"/>
      <c r="H104" s="264"/>
      <c r="I104" s="264"/>
    </row>
    <row r="105" spans="1:26" ht="14.75" customHeight="1" thickTop="1" x14ac:dyDescent="0.15">
      <c r="A105" s="274"/>
      <c r="B105" s="352" t="s">
        <v>197</v>
      </c>
      <c r="C105" s="354"/>
      <c r="D105" s="355"/>
      <c r="E105" s="355"/>
      <c r="F105" s="355"/>
      <c r="G105" s="355"/>
      <c r="H105" s="355"/>
      <c r="I105" s="356"/>
      <c r="J105" s="295"/>
    </row>
    <row r="106" spans="1:26" ht="14" customHeight="1" thickBot="1" x14ac:dyDescent="0.2">
      <c r="A106" s="274"/>
      <c r="B106" s="353"/>
      <c r="C106" s="357"/>
      <c r="D106" s="358"/>
      <c r="E106" s="358"/>
      <c r="F106" s="358"/>
      <c r="G106" s="358"/>
      <c r="H106" s="358"/>
      <c r="I106" s="359"/>
      <c r="J106" s="295"/>
    </row>
    <row r="107" spans="1:26" ht="16" thickTop="1" x14ac:dyDescent="0.2">
      <c r="C107" s="275"/>
      <c r="D107" s="275"/>
      <c r="E107" s="276"/>
      <c r="F107" s="277"/>
      <c r="G107" s="278"/>
      <c r="H107" s="278"/>
      <c r="I107" s="278"/>
    </row>
    <row r="108" spans="1:26" ht="15" x14ac:dyDescent="0.2">
      <c r="C108" s="247"/>
      <c r="D108" s="247"/>
      <c r="E108" s="189"/>
      <c r="F108" s="263"/>
      <c r="G108" s="264"/>
      <c r="H108" s="264"/>
      <c r="I108" s="264"/>
    </row>
    <row r="109" spans="1:26" ht="15" x14ac:dyDescent="0.2">
      <c r="C109" s="247"/>
      <c r="D109" s="247"/>
      <c r="E109" s="189"/>
      <c r="F109" s="263"/>
      <c r="G109" s="264"/>
      <c r="H109" s="264"/>
      <c r="I109" s="264"/>
    </row>
    <row r="110" spans="1:26" ht="16" x14ac:dyDescent="0.2">
      <c r="B110" s="272" t="s">
        <v>198</v>
      </c>
      <c r="C110" s="247"/>
      <c r="D110" s="247"/>
      <c r="E110" s="189"/>
      <c r="F110" s="263"/>
      <c r="G110" s="264"/>
      <c r="H110" s="264"/>
      <c r="I110" s="264"/>
      <c r="Q110" s="272" t="s">
        <v>199</v>
      </c>
      <c r="R110" s="247"/>
      <c r="S110" s="247"/>
      <c r="T110" s="189"/>
      <c r="U110" s="263"/>
      <c r="V110" s="264"/>
      <c r="W110" s="264"/>
      <c r="X110" s="264"/>
    </row>
    <row r="111" spans="1:26" x14ac:dyDescent="0.15">
      <c r="S111"/>
    </row>
    <row r="112" spans="1:26" x14ac:dyDescent="0.15">
      <c r="F112" s="53" t="s">
        <v>200</v>
      </c>
      <c r="G112" s="54"/>
      <c r="H112" s="54"/>
      <c r="I112" s="55"/>
      <c r="J112" s="384" t="s">
        <v>201</v>
      </c>
      <c r="K112" s="385"/>
      <c r="S112"/>
      <c r="U112" s="53" t="s">
        <v>200</v>
      </c>
      <c r="V112" s="54"/>
      <c r="W112" s="54"/>
      <c r="X112" s="55"/>
      <c r="Y112" s="52" t="s">
        <v>201</v>
      </c>
      <c r="Z112" s="60"/>
    </row>
    <row r="113" spans="2:26" x14ac:dyDescent="0.15">
      <c r="B113" s="6" t="s">
        <v>202</v>
      </c>
      <c r="C113" s="7"/>
      <c r="D113" s="7"/>
      <c r="E113" s="7"/>
      <c r="F113" s="8"/>
      <c r="G113" s="8"/>
      <c r="H113" s="9"/>
      <c r="I113" s="80"/>
      <c r="J113" s="296"/>
      <c r="K113" s="59"/>
      <c r="Q113" s="6" t="s">
        <v>202</v>
      </c>
      <c r="R113" s="7"/>
      <c r="S113" s="7"/>
      <c r="T113" s="7"/>
      <c r="U113" s="8"/>
      <c r="V113" s="8"/>
      <c r="W113" s="9"/>
      <c r="X113" s="80"/>
      <c r="Y113" s="7"/>
      <c r="Z113" s="59"/>
    </row>
    <row r="114" spans="2:26" x14ac:dyDescent="0.15">
      <c r="B114" s="12"/>
      <c r="C114" s="43"/>
      <c r="D114" s="43"/>
      <c r="E114" s="56"/>
      <c r="F114" s="57" t="s">
        <v>203</v>
      </c>
      <c r="G114" s="57" t="s">
        <v>204</v>
      </c>
      <c r="H114" s="57" t="s">
        <v>205</v>
      </c>
      <c r="I114" s="126"/>
      <c r="J114" s="386" t="s">
        <v>206</v>
      </c>
      <c r="K114" s="387"/>
      <c r="Q114" s="12"/>
      <c r="R114" s="43"/>
      <c r="S114" s="43"/>
      <c r="T114" s="56"/>
      <c r="U114" s="57" t="s">
        <v>203</v>
      </c>
      <c r="V114" s="57" t="s">
        <v>204</v>
      </c>
      <c r="W114" s="57" t="s">
        <v>205</v>
      </c>
      <c r="X114" s="126"/>
      <c r="Y114" s="61" t="s">
        <v>207</v>
      </c>
      <c r="Z114" s="61" t="s">
        <v>208</v>
      </c>
    </row>
    <row r="115" spans="2:26" x14ac:dyDescent="0.15">
      <c r="B115" s="32" t="s">
        <v>209</v>
      </c>
      <c r="C115" s="30"/>
      <c r="D115" s="30"/>
      <c r="E115" s="47"/>
      <c r="F115" s="13" t="s">
        <v>210</v>
      </c>
      <c r="G115" s="14"/>
      <c r="H115" s="13" t="s">
        <v>211</v>
      </c>
      <c r="I115" s="126"/>
      <c r="J115" s="61" t="s">
        <v>207</v>
      </c>
      <c r="K115" s="61" t="s">
        <v>208</v>
      </c>
      <c r="Q115" s="32" t="s">
        <v>209</v>
      </c>
      <c r="R115" s="30"/>
      <c r="S115" s="30"/>
      <c r="T115" s="47"/>
      <c r="U115" s="13" t="s">
        <v>210</v>
      </c>
      <c r="V115" s="14"/>
      <c r="W115" s="13" t="s">
        <v>211</v>
      </c>
      <c r="X115" s="126"/>
      <c r="Y115" s="108" t="s">
        <v>206</v>
      </c>
      <c r="Z115" s="108" t="s">
        <v>206</v>
      </c>
    </row>
    <row r="116" spans="2:26" x14ac:dyDescent="0.15">
      <c r="B116" s="29" t="s">
        <v>212</v>
      </c>
      <c r="C116" s="30"/>
      <c r="D116" s="30"/>
      <c r="E116" s="47"/>
      <c r="F116" s="81">
        <f>SUMIF(SandBHQP[HQP Status],Dropdown!D7,SandBHQP[Salary &amp; Benefits])</f>
        <v>0</v>
      </c>
      <c r="G116" s="81">
        <f>SUMIF(SandBHQP[HQP Status],Dropdown!D11,SandBHQP[Salary &amp; Benefits])</f>
        <v>0</v>
      </c>
      <c r="H116" s="81">
        <f>SUM(F116:G116)</f>
        <v>0</v>
      </c>
      <c r="I116" s="127"/>
      <c r="J116" s="297"/>
      <c r="K116" s="136"/>
      <c r="Q116" s="29" t="s">
        <v>212</v>
      </c>
      <c r="R116" s="30"/>
      <c r="S116" s="30"/>
      <c r="T116" s="47"/>
      <c r="U116" s="81">
        <f>SUMIF(SandBHQP[HQP Status],Dropdown!D7,SandBHQP[Salary &amp; Benefits])</f>
        <v>0</v>
      </c>
      <c r="V116" s="81">
        <f>SUMIF(SandBHQP[HQP Status],Dropdown!D11,SandBHQP[Salary &amp; Benefits])</f>
        <v>0</v>
      </c>
      <c r="W116" s="81">
        <f>SUM(U116:V116)</f>
        <v>0</v>
      </c>
      <c r="X116" s="127"/>
      <c r="Y116" s="136"/>
      <c r="Z116" s="136"/>
    </row>
    <row r="117" spans="2:26" x14ac:dyDescent="0.15">
      <c r="B117" s="16" t="s">
        <v>213</v>
      </c>
      <c r="C117" s="17"/>
      <c r="D117" s="17"/>
      <c r="E117" s="18"/>
      <c r="F117" s="81">
        <f>SUMIF(SandBHQP[HQP Status],Dropdown!D8,SandBHQP[Salary &amp; Benefits])</f>
        <v>0</v>
      </c>
      <c r="G117" s="81">
        <f>SUMIF(SandBHQP[HQP Status],Dropdown!D12,SandBHQP[Salary &amp; Benefits])</f>
        <v>0</v>
      </c>
      <c r="H117" s="81">
        <f>SUM(F117:G117)</f>
        <v>0</v>
      </c>
      <c r="I117" s="127"/>
      <c r="J117" s="297"/>
      <c r="K117" s="136"/>
      <c r="Q117" s="16" t="s">
        <v>213</v>
      </c>
      <c r="R117" s="17"/>
      <c r="S117" s="17"/>
      <c r="T117" s="18"/>
      <c r="U117" s="81">
        <f>SUMIF(SandBHQP[HQP Status],Dropdown!D8,SandBHQP[Salary &amp; Benefits])</f>
        <v>0</v>
      </c>
      <c r="V117" s="81">
        <f>SUMIF(SandBHQP[HQP Status],Dropdown!D12,SandBHQP[Salary &amp; Benefits])</f>
        <v>0</v>
      </c>
      <c r="W117" s="81">
        <f>SUM(U117:V117)</f>
        <v>0</v>
      </c>
      <c r="X117" s="127"/>
      <c r="Y117" s="136"/>
      <c r="Z117" s="136"/>
    </row>
    <row r="118" spans="2:26" x14ac:dyDescent="0.15">
      <c r="B118" s="16" t="s">
        <v>214</v>
      </c>
      <c r="C118" s="17"/>
      <c r="D118" s="17"/>
      <c r="E118" s="18"/>
      <c r="F118" s="81">
        <f>SUMIF(SandBHQP[HQP Status],Dropdown!D9,SandBHQP[Salary &amp; Benefits])</f>
        <v>0</v>
      </c>
      <c r="G118" s="81">
        <f>SUMIF(SandBHQP[HQP Status],Dropdown!D13,SandBHQP[Salary &amp; Benefits])</f>
        <v>0</v>
      </c>
      <c r="H118" s="81">
        <f>SUM(F118:G118)</f>
        <v>0</v>
      </c>
      <c r="I118" s="127"/>
      <c r="J118" s="297"/>
      <c r="K118" s="136"/>
      <c r="Q118" s="16" t="s">
        <v>214</v>
      </c>
      <c r="R118" s="17"/>
      <c r="S118" s="17"/>
      <c r="T118" s="18"/>
      <c r="U118" s="81">
        <f>SUMIF(SandBHQP[HQP Status],Dropdown!D9,SandBHQP[Salary &amp; Benefits])</f>
        <v>0</v>
      </c>
      <c r="V118" s="81">
        <f>SUMIF(SandBHQP[HQP Status],Dropdown!D13,SandBHQP[Salary &amp; Benefits])</f>
        <v>0</v>
      </c>
      <c r="W118" s="81">
        <f>SUM(U118:V118)</f>
        <v>0</v>
      </c>
      <c r="X118" s="127"/>
      <c r="Y118" s="136"/>
      <c r="Z118" s="136"/>
    </row>
    <row r="119" spans="2:26" x14ac:dyDescent="0.15">
      <c r="B119" s="19" t="s">
        <v>215</v>
      </c>
      <c r="C119" s="17"/>
      <c r="D119" s="17"/>
      <c r="E119" s="20"/>
      <c r="F119" s="82"/>
      <c r="G119" s="83"/>
      <c r="H119" s="84"/>
      <c r="I119" s="127"/>
      <c r="J119" s="298"/>
      <c r="K119" s="110"/>
      <c r="Q119" s="19" t="s">
        <v>215</v>
      </c>
      <c r="R119" s="17"/>
      <c r="S119" s="17"/>
      <c r="T119" s="20"/>
      <c r="U119" s="82"/>
      <c r="V119" s="83"/>
      <c r="W119" s="84"/>
      <c r="X119" s="127"/>
      <c r="Y119" s="110"/>
      <c r="Z119" s="110"/>
    </row>
    <row r="120" spans="2:26" x14ac:dyDescent="0.15">
      <c r="B120" s="16" t="s">
        <v>216</v>
      </c>
      <c r="C120" s="17"/>
      <c r="D120" s="17"/>
      <c r="E120" s="18"/>
      <c r="F120" s="81">
        <f>SUMIF(SandBHQP[HQP Status],Dropdown!D10,$F$21:$F$37)</f>
        <v>0</v>
      </c>
      <c r="G120" s="81">
        <f>SUMIF(SandBHQP[HQP Status],Dropdown!D14,SandBHQP[Salary &amp; Benefits])</f>
        <v>0</v>
      </c>
      <c r="H120" s="81">
        <f>SUM(F120:G120)</f>
        <v>0</v>
      </c>
      <c r="I120" s="127"/>
      <c r="J120" s="297"/>
      <c r="K120" s="136"/>
      <c r="Q120" s="16" t="s">
        <v>216</v>
      </c>
      <c r="R120" s="17"/>
      <c r="S120" s="17"/>
      <c r="T120" s="18"/>
      <c r="U120" s="81">
        <f>SUMIF(SandBHQP[HQP Status],Dropdown!D10,$F$21:$F$37)</f>
        <v>0</v>
      </c>
      <c r="V120" s="81">
        <f>SUMIF(SandBHQP[HQP Status],Dropdown!D14,SandBHQP[Salary &amp; Benefits])</f>
        <v>0</v>
      </c>
      <c r="W120" s="81">
        <f>SUM(U120:V120)</f>
        <v>0</v>
      </c>
      <c r="X120" s="127"/>
      <c r="Y120" s="136"/>
      <c r="Z120" s="136"/>
    </row>
    <row r="121" spans="2:26" x14ac:dyDescent="0.15">
      <c r="B121" s="16" t="s">
        <v>217</v>
      </c>
      <c r="C121" s="17"/>
      <c r="D121" s="17"/>
      <c r="E121" s="20"/>
      <c r="F121" s="85"/>
      <c r="G121" s="86"/>
      <c r="H121" s="81">
        <f>SUMIF(SandBTech[Role],Dropdown!D21,SandBTech[Salary &amp; Benefits])</f>
        <v>0</v>
      </c>
      <c r="I121" s="127"/>
      <c r="J121" s="297"/>
      <c r="K121" s="136"/>
      <c r="Q121" s="16" t="s">
        <v>217</v>
      </c>
      <c r="R121" s="17"/>
      <c r="S121" s="17"/>
      <c r="T121" s="20"/>
      <c r="U121" s="85"/>
      <c r="V121" s="86"/>
      <c r="W121" s="81">
        <f>SUMIF(SandBTech[Role],Dropdown!D21,SandBTech[Salary &amp; Benefits])</f>
        <v>0</v>
      </c>
      <c r="X121" s="127"/>
      <c r="Y121" s="136"/>
      <c r="Z121" s="136"/>
    </row>
    <row r="122" spans="2:26" x14ac:dyDescent="0.15">
      <c r="B122" s="16" t="s">
        <v>218</v>
      </c>
      <c r="C122" s="17"/>
      <c r="D122" s="17"/>
      <c r="E122" s="20"/>
      <c r="F122" s="87"/>
      <c r="G122" s="88"/>
      <c r="H122" s="81">
        <f>SUMIF(SandBTech[Role],Dropdown!D18,SandBTech[Salary &amp; Benefits])+SUMIF(SandBTech[Role],Dropdown!D19,SandBTech[Salary &amp; Benefits])+SUMIF(SandBTech[Role],Dropdown!D20,SandBTech[Salary &amp; Benefits])</f>
        <v>0</v>
      </c>
      <c r="I122" s="127"/>
      <c r="J122" s="297"/>
      <c r="K122" s="136"/>
      <c r="Q122" s="16" t="s">
        <v>218</v>
      </c>
      <c r="R122" s="17"/>
      <c r="S122" s="17"/>
      <c r="T122" s="20"/>
      <c r="U122" s="87"/>
      <c r="V122" s="88"/>
      <c r="W122" s="81">
        <f>SUMIF(SandBTech[Role],Dropdown!D18,SandBTech[Salary &amp; Benefits])+SUMIF(SandBTech[Role],Dropdown!D19,SandBTech[Salary &amp; Benefits])+SUMIF(SandBTech[Role],Dropdown!D20,SandBTech[Salary &amp; Benefits])</f>
        <v>0</v>
      </c>
      <c r="X122" s="127"/>
      <c r="Y122" s="136"/>
      <c r="Z122" s="136"/>
    </row>
    <row r="123" spans="2:26" x14ac:dyDescent="0.15">
      <c r="B123" s="16" t="s">
        <v>219</v>
      </c>
      <c r="C123" s="17"/>
      <c r="D123" s="17"/>
      <c r="E123" s="20"/>
      <c r="F123" s="82"/>
      <c r="G123" s="83"/>
      <c r="H123" s="81">
        <f>SUMIF(SandBTech[Role],Dropdown!D22,SandBTech[Salary &amp; Benefits])</f>
        <v>0</v>
      </c>
      <c r="I123" s="127"/>
      <c r="J123" s="297"/>
      <c r="K123" s="136"/>
      <c r="Q123" s="16" t="s">
        <v>219</v>
      </c>
      <c r="R123" s="17"/>
      <c r="S123" s="17"/>
      <c r="T123" s="20"/>
      <c r="U123" s="82"/>
      <c r="V123" s="83"/>
      <c r="W123" s="81">
        <f>SUMIF(SandBTech[Role],Dropdown!D22,SandBTech[Salary &amp; Benefits])</f>
        <v>0</v>
      </c>
      <c r="X123" s="127"/>
      <c r="Y123" s="136"/>
      <c r="Z123" s="136"/>
    </row>
    <row r="124" spans="2:26" x14ac:dyDescent="0.15">
      <c r="B124" s="16" t="s">
        <v>220</v>
      </c>
      <c r="C124" s="17"/>
      <c r="D124" s="17"/>
      <c r="E124" s="20"/>
      <c r="F124" s="82"/>
      <c r="G124" s="83"/>
      <c r="H124" s="81">
        <f>SUMIF(SandBTech[Role],Dropdown!D23,SandBTech[Salary &amp; Benefits])</f>
        <v>0</v>
      </c>
      <c r="I124" s="127"/>
      <c r="J124" s="297"/>
      <c r="K124" s="136"/>
      <c r="Q124" s="16" t="s">
        <v>220</v>
      </c>
      <c r="R124" s="17"/>
      <c r="S124" s="17"/>
      <c r="T124" s="20"/>
      <c r="U124" s="82"/>
      <c r="V124" s="83"/>
      <c r="W124" s="81">
        <f>SUMIF(SandBTech[Role],Dropdown!D23,SandBTech[Salary &amp; Benefits])</f>
        <v>0</v>
      </c>
      <c r="X124" s="127"/>
      <c r="Y124" s="136"/>
      <c r="Z124" s="136"/>
    </row>
    <row r="125" spans="2:26" x14ac:dyDescent="0.15">
      <c r="B125" s="19" t="s">
        <v>221</v>
      </c>
      <c r="C125" s="17"/>
      <c r="D125" s="17"/>
      <c r="E125" s="20"/>
      <c r="F125" s="82"/>
      <c r="G125" s="83"/>
      <c r="H125" s="84"/>
      <c r="I125" s="127"/>
      <c r="J125" s="298"/>
      <c r="K125" s="110"/>
      <c r="Q125" s="19" t="s">
        <v>221</v>
      </c>
      <c r="R125" s="17"/>
      <c r="S125" s="17"/>
      <c r="T125" s="20"/>
      <c r="U125" s="82"/>
      <c r="V125" s="83"/>
      <c r="W125" s="84"/>
      <c r="X125" s="127"/>
      <c r="Y125" s="110"/>
      <c r="Z125" s="110"/>
    </row>
    <row r="126" spans="2:26" x14ac:dyDescent="0.15">
      <c r="B126" s="16" t="s">
        <v>222</v>
      </c>
      <c r="C126" s="17"/>
      <c r="D126" s="17"/>
      <c r="E126" s="20"/>
      <c r="F126" s="82"/>
      <c r="G126" s="83"/>
      <c r="H126" s="81">
        <f>SUMIF(SandBIPDC[Role],Dropdown!D29,SandBIPDC[Salary &amp; Benefits])</f>
        <v>0</v>
      </c>
      <c r="I126" s="127"/>
      <c r="J126" s="297"/>
      <c r="K126" s="136"/>
      <c r="Q126" s="16" t="s">
        <v>222</v>
      </c>
      <c r="R126" s="17"/>
      <c r="S126" s="17"/>
      <c r="T126" s="20"/>
      <c r="U126" s="82"/>
      <c r="V126" s="83"/>
      <c r="W126" s="81">
        <f>SUMIF(SandBIPDC[Role],Dropdown!D29,SandBIPDC[Salary &amp; Benefits])</f>
        <v>0</v>
      </c>
      <c r="X126" s="127"/>
      <c r="Y126" s="136"/>
      <c r="Z126" s="136"/>
    </row>
    <row r="127" spans="2:26" x14ac:dyDescent="0.15">
      <c r="B127" s="16" t="s">
        <v>223</v>
      </c>
      <c r="C127" s="17"/>
      <c r="D127" s="17"/>
      <c r="E127" s="20"/>
      <c r="F127" s="82"/>
      <c r="G127" s="83"/>
      <c r="H127" s="81">
        <f>SUMIF(SandBIPDC[Role],Dropdown!D26,SandBIPDC[Salary &amp; Benefits])+SUMIF(SandBIPDC[Role],Dropdown!D27,SandBIPDC[Salary &amp; Benefits])+SUMIF(SandBIPDC[Role],Dropdown!D28,SandBIPDC[Salary &amp; Benefits])</f>
        <v>0</v>
      </c>
      <c r="I127" s="127"/>
      <c r="J127" s="297"/>
      <c r="K127" s="136"/>
      <c r="Q127" s="16" t="s">
        <v>223</v>
      </c>
      <c r="R127" s="17"/>
      <c r="S127" s="17"/>
      <c r="T127" s="20"/>
      <c r="U127" s="82"/>
      <c r="V127" s="83"/>
      <c r="W127" s="81">
        <f>SUMIF(SandBIPDC[Role],Dropdown!D26,SandBIPDC[Salary &amp; Benefits])+SUMIF(SandBIPDC[Role],Dropdown!D27,SandBIPDC[Salary &amp; Benefits])+SUMIF(SandBIPDC[Role],Dropdown!D28,SandBIPDC[Salary &amp; Benefits])</f>
        <v>0</v>
      </c>
      <c r="X127" s="127"/>
      <c r="Y127" s="136"/>
      <c r="Z127" s="136"/>
    </row>
    <row r="128" spans="2:26" x14ac:dyDescent="0.15">
      <c r="B128" s="16" t="s">
        <v>224</v>
      </c>
      <c r="C128" s="17"/>
      <c r="D128" s="17"/>
      <c r="E128" s="20"/>
      <c r="F128" s="82"/>
      <c r="G128" s="83"/>
      <c r="H128" s="81">
        <f>SUMIF(SandBIPDC[Role],Dropdown!D30,SandBIPDC[Salary &amp; Benefits])</f>
        <v>0</v>
      </c>
      <c r="I128" s="127"/>
      <c r="J128" s="297"/>
      <c r="K128" s="136"/>
      <c r="Q128" s="16" t="s">
        <v>224</v>
      </c>
      <c r="R128" s="17"/>
      <c r="S128" s="17"/>
      <c r="T128" s="20"/>
      <c r="U128" s="82"/>
      <c r="V128" s="83"/>
      <c r="W128" s="81">
        <f>SUMIF(SandBIPDC[Role],Dropdown!D30,SandBIPDC[Salary &amp; Benefits])</f>
        <v>0</v>
      </c>
      <c r="X128" s="127"/>
      <c r="Y128" s="136"/>
      <c r="Z128" s="136"/>
    </row>
    <row r="129" spans="2:26" x14ac:dyDescent="0.15">
      <c r="B129" s="24" t="s">
        <v>225</v>
      </c>
      <c r="C129" s="17"/>
      <c r="D129" s="17"/>
      <c r="E129" s="89"/>
      <c r="F129" s="82"/>
      <c r="G129" s="85"/>
      <c r="H129" s="90">
        <f>SUM(H116:H118,H120:H128)</f>
        <v>0</v>
      </c>
      <c r="I129" s="128"/>
      <c r="J129" s="299"/>
      <c r="K129" s="111"/>
      <c r="Q129" s="24" t="s">
        <v>225</v>
      </c>
      <c r="R129" s="17"/>
      <c r="S129" s="17"/>
      <c r="T129" s="89"/>
      <c r="U129" s="82"/>
      <c r="V129" s="85"/>
      <c r="W129" s="90">
        <f>SUM(W116:W118,W120:W128)</f>
        <v>0</v>
      </c>
      <c r="X129" s="128"/>
      <c r="Y129" s="111"/>
      <c r="Z129" s="111"/>
    </row>
    <row r="130" spans="2:26" x14ac:dyDescent="0.15">
      <c r="B130" s="19" t="s">
        <v>226</v>
      </c>
      <c r="C130" s="17"/>
      <c r="D130" s="17"/>
      <c r="E130" s="17"/>
      <c r="F130" s="82"/>
      <c r="G130" s="82"/>
      <c r="H130" s="81">
        <f>F72</f>
        <v>0</v>
      </c>
      <c r="I130" s="128"/>
      <c r="J130" s="297"/>
      <c r="K130" s="136"/>
      <c r="Q130" s="19" t="s">
        <v>226</v>
      </c>
      <c r="R130" s="17"/>
      <c r="S130" s="17"/>
      <c r="T130" s="17"/>
      <c r="U130" s="82"/>
      <c r="V130" s="82"/>
      <c r="W130" s="81">
        <f>F72</f>
        <v>0</v>
      </c>
      <c r="X130" s="128"/>
      <c r="Y130" s="136"/>
      <c r="Z130" s="136"/>
    </row>
    <row r="131" spans="2:26" x14ac:dyDescent="0.15">
      <c r="B131" s="19" t="s">
        <v>227</v>
      </c>
      <c r="C131" s="17"/>
      <c r="D131" s="17"/>
      <c r="E131" s="17"/>
      <c r="F131" s="82"/>
      <c r="G131" s="82"/>
      <c r="H131" s="81">
        <f>SUM(F73:F77)</f>
        <v>0</v>
      </c>
      <c r="I131" s="128"/>
      <c r="J131" s="297"/>
      <c r="K131" s="136"/>
      <c r="Q131" s="19" t="s">
        <v>228</v>
      </c>
      <c r="R131" s="17"/>
      <c r="S131" s="17"/>
      <c r="T131" s="17"/>
      <c r="U131" s="82"/>
      <c r="V131" s="82"/>
      <c r="W131" s="81">
        <f>F73+F74</f>
        <v>0</v>
      </c>
      <c r="X131" s="128"/>
      <c r="Y131" s="136"/>
      <c r="Z131" s="136"/>
    </row>
    <row r="132" spans="2:26" x14ac:dyDescent="0.15">
      <c r="B132" s="10" t="s">
        <v>229</v>
      </c>
      <c r="C132" s="11"/>
      <c r="D132" s="11"/>
      <c r="E132" s="11"/>
      <c r="F132" s="91"/>
      <c r="G132" s="91"/>
      <c r="H132" s="81">
        <f>F78</f>
        <v>0</v>
      </c>
      <c r="I132" s="128"/>
      <c r="J132" s="297"/>
      <c r="K132" s="136"/>
      <c r="Q132" s="19" t="s">
        <v>230</v>
      </c>
      <c r="R132" s="17"/>
      <c r="S132" s="17"/>
      <c r="T132" s="17"/>
      <c r="U132" s="82"/>
      <c r="V132" s="82"/>
      <c r="W132" s="81">
        <f>F75</f>
        <v>0</v>
      </c>
      <c r="X132" s="128"/>
      <c r="Y132" s="136"/>
      <c r="Z132" s="136"/>
    </row>
    <row r="133" spans="2:26" x14ac:dyDescent="0.15">
      <c r="B133" s="19" t="s">
        <v>231</v>
      </c>
      <c r="C133" s="11"/>
      <c r="D133" s="11"/>
      <c r="E133" s="11"/>
      <c r="F133" s="91"/>
      <c r="G133" s="91"/>
      <c r="H133" s="81">
        <f>F86+SUM(F83:F85)</f>
        <v>0</v>
      </c>
      <c r="I133" s="128"/>
      <c r="J133" s="297"/>
      <c r="K133" s="136"/>
      <c r="Q133" s="19" t="s">
        <v>232</v>
      </c>
      <c r="R133" s="17"/>
      <c r="S133" s="17"/>
      <c r="T133" s="17"/>
      <c r="U133" s="82"/>
      <c r="V133" s="82"/>
      <c r="W133" s="81">
        <f t="shared" ref="W133:W143" si="12">F76</f>
        <v>0</v>
      </c>
      <c r="X133" s="128"/>
      <c r="Y133" s="136"/>
      <c r="Z133" s="136"/>
    </row>
    <row r="134" spans="2:26" x14ac:dyDescent="0.15">
      <c r="B134" s="19" t="s">
        <v>233</v>
      </c>
      <c r="C134" s="17"/>
      <c r="D134" s="17"/>
      <c r="E134" s="17"/>
      <c r="F134" s="82"/>
      <c r="G134" s="82"/>
      <c r="H134" s="81">
        <f>SUM(F79:F82)</f>
        <v>0</v>
      </c>
      <c r="I134" s="128"/>
      <c r="J134" s="297"/>
      <c r="K134" s="136"/>
      <c r="Q134" s="19" t="s">
        <v>234</v>
      </c>
      <c r="R134" s="17"/>
      <c r="S134" s="17"/>
      <c r="T134" s="17"/>
      <c r="U134" s="82"/>
      <c r="V134" s="82"/>
      <c r="W134" s="81">
        <f t="shared" si="12"/>
        <v>0</v>
      </c>
      <c r="X134" s="128"/>
      <c r="Y134" s="136"/>
      <c r="Z134" s="136"/>
    </row>
    <row r="135" spans="2:26" x14ac:dyDescent="0.15">
      <c r="B135" s="62" t="s">
        <v>235</v>
      </c>
      <c r="C135" s="11"/>
      <c r="D135" s="11"/>
      <c r="E135" s="11"/>
      <c r="F135" s="279"/>
      <c r="G135" s="279"/>
      <c r="H135" s="280" t="s">
        <v>236</v>
      </c>
      <c r="I135" s="92">
        <f>ROUND(SUM(H129:H134),2)</f>
        <v>0</v>
      </c>
      <c r="J135" s="300">
        <f>D102</f>
        <v>0</v>
      </c>
      <c r="K135" s="109">
        <f>D103</f>
        <v>0</v>
      </c>
      <c r="Q135" s="10" t="s">
        <v>229</v>
      </c>
      <c r="R135" s="11"/>
      <c r="S135" s="11"/>
      <c r="T135" s="11"/>
      <c r="U135" s="91"/>
      <c r="V135" s="91"/>
      <c r="W135" s="81">
        <f t="shared" si="12"/>
        <v>0</v>
      </c>
      <c r="X135" s="128"/>
      <c r="Y135" s="136"/>
      <c r="Z135" s="136"/>
    </row>
    <row r="136" spans="2:26" x14ac:dyDescent="0.15">
      <c r="B136" s="62"/>
      <c r="C136" s="11"/>
      <c r="D136" s="11"/>
      <c r="E136" s="11"/>
      <c r="F136" s="279"/>
      <c r="G136" s="279"/>
      <c r="H136" s="281"/>
      <c r="I136" s="282"/>
      <c r="J136" s="301"/>
      <c r="K136" s="282"/>
      <c r="Q136" s="19" t="s">
        <v>237</v>
      </c>
      <c r="R136" s="17"/>
      <c r="S136" s="17"/>
      <c r="T136" s="17"/>
      <c r="U136" s="82"/>
      <c r="V136" s="82"/>
      <c r="W136" s="81">
        <f t="shared" si="12"/>
        <v>0</v>
      </c>
      <c r="X136" s="128"/>
      <c r="Y136" s="136"/>
      <c r="Z136" s="136"/>
    </row>
    <row r="137" spans="2:26" x14ac:dyDescent="0.15">
      <c r="B137" s="6" t="s">
        <v>238</v>
      </c>
      <c r="C137" s="8"/>
      <c r="D137" s="8"/>
      <c r="E137" s="8"/>
      <c r="F137" s="283"/>
      <c r="G137" s="283"/>
      <c r="H137" s="284"/>
      <c r="I137" s="80"/>
      <c r="J137" s="302"/>
      <c r="K137" s="114"/>
      <c r="Q137" s="19" t="s">
        <v>239</v>
      </c>
      <c r="R137" s="17"/>
      <c r="S137" s="17"/>
      <c r="T137" s="17"/>
      <c r="U137" s="82"/>
      <c r="V137" s="82"/>
      <c r="W137" s="81">
        <f t="shared" si="12"/>
        <v>0</v>
      </c>
      <c r="X137" s="128"/>
      <c r="Y137" s="136"/>
      <c r="Z137" s="136"/>
    </row>
    <row r="138" spans="2:26" x14ac:dyDescent="0.15">
      <c r="B138" s="29" t="s">
        <v>142</v>
      </c>
      <c r="C138" s="30"/>
      <c r="D138" s="30"/>
      <c r="E138" s="30"/>
      <c r="F138" s="285"/>
      <c r="G138" s="285"/>
      <c r="H138" s="81">
        <f>F93</f>
        <v>0</v>
      </c>
      <c r="I138" s="128"/>
      <c r="J138" s="297"/>
      <c r="K138" s="136"/>
      <c r="Q138" s="19" t="s">
        <v>240</v>
      </c>
      <c r="R138" s="17"/>
      <c r="S138" s="17"/>
      <c r="T138" s="17"/>
      <c r="U138" s="82"/>
      <c r="V138" s="82"/>
      <c r="W138" s="81">
        <f t="shared" si="12"/>
        <v>0</v>
      </c>
      <c r="X138" s="128"/>
      <c r="Y138" s="136"/>
      <c r="Z138" s="136"/>
    </row>
    <row r="139" spans="2:26" x14ac:dyDescent="0.15">
      <c r="B139" s="16" t="s">
        <v>143</v>
      </c>
      <c r="C139" s="17"/>
      <c r="D139" s="17"/>
      <c r="E139" s="17"/>
      <c r="F139" s="286"/>
      <c r="G139" s="286"/>
      <c r="H139" s="81">
        <f>F94</f>
        <v>0</v>
      </c>
      <c r="I139" s="128"/>
      <c r="J139" s="297"/>
      <c r="K139" s="136"/>
      <c r="Q139" s="19" t="s">
        <v>241</v>
      </c>
      <c r="R139" s="17"/>
      <c r="S139" s="17"/>
      <c r="T139" s="17"/>
      <c r="U139" s="82"/>
      <c r="V139" s="82"/>
      <c r="W139" s="81">
        <f t="shared" si="12"/>
        <v>0</v>
      </c>
      <c r="X139" s="128"/>
      <c r="Y139" s="136"/>
      <c r="Z139" s="136"/>
    </row>
    <row r="140" spans="2:26" x14ac:dyDescent="0.15">
      <c r="B140" s="16" t="s">
        <v>144</v>
      </c>
      <c r="C140" s="17"/>
      <c r="D140" s="17"/>
      <c r="E140" s="17"/>
      <c r="F140" s="286"/>
      <c r="G140" s="286"/>
      <c r="H140" s="81">
        <f>F95</f>
        <v>0</v>
      </c>
      <c r="I140" s="128"/>
      <c r="J140" s="297"/>
      <c r="K140" s="136"/>
      <c r="Q140" s="19" t="s">
        <v>242</v>
      </c>
      <c r="R140" s="17"/>
      <c r="S140" s="17"/>
      <c r="T140" s="17"/>
      <c r="U140" s="82"/>
      <c r="V140" s="82"/>
      <c r="W140" s="81">
        <f t="shared" si="12"/>
        <v>0</v>
      </c>
      <c r="X140" s="128"/>
      <c r="Y140" s="136"/>
      <c r="Z140" s="136"/>
    </row>
    <row r="141" spans="2:26" x14ac:dyDescent="0.15">
      <c r="B141" s="16" t="s">
        <v>145</v>
      </c>
      <c r="C141" s="17"/>
      <c r="D141" s="17"/>
      <c r="E141" s="17"/>
      <c r="F141" s="286"/>
      <c r="G141" s="286"/>
      <c r="H141" s="81">
        <f>F96</f>
        <v>0</v>
      </c>
      <c r="I141" s="128"/>
      <c r="J141" s="297"/>
      <c r="K141" s="136"/>
      <c r="Q141" s="19" t="s">
        <v>243</v>
      </c>
      <c r="R141" s="17"/>
      <c r="S141" s="17"/>
      <c r="T141" s="17"/>
      <c r="U141" s="82"/>
      <c r="V141" s="82"/>
      <c r="W141" s="81">
        <f t="shared" si="12"/>
        <v>0</v>
      </c>
      <c r="X141" s="128"/>
      <c r="Y141" s="136"/>
      <c r="Z141" s="136"/>
    </row>
    <row r="142" spans="2:26" x14ac:dyDescent="0.15">
      <c r="B142" s="16" t="s">
        <v>146</v>
      </c>
      <c r="C142" s="17"/>
      <c r="D142" s="17"/>
      <c r="E142" s="17"/>
      <c r="F142" s="286"/>
      <c r="G142" s="286"/>
      <c r="H142" s="81">
        <f>F97</f>
        <v>0</v>
      </c>
      <c r="I142" s="129"/>
      <c r="J142" s="297"/>
      <c r="K142" s="136"/>
      <c r="Q142" s="19" t="s">
        <v>244</v>
      </c>
      <c r="R142" s="17"/>
      <c r="S142" s="17"/>
      <c r="T142" s="17"/>
      <c r="U142" s="82"/>
      <c r="V142" s="82"/>
      <c r="W142" s="81">
        <f t="shared" si="12"/>
        <v>0</v>
      </c>
      <c r="X142" s="128"/>
      <c r="Y142" s="136"/>
      <c r="Z142" s="136"/>
    </row>
    <row r="143" spans="2:26" x14ac:dyDescent="0.15">
      <c r="B143" s="27" t="s">
        <v>245</v>
      </c>
      <c r="C143" s="17"/>
      <c r="D143" s="17"/>
      <c r="E143" s="17"/>
      <c r="F143" s="17"/>
      <c r="G143" s="17"/>
      <c r="H143" s="28" t="s">
        <v>246</v>
      </c>
      <c r="I143" s="112">
        <f>ROUND(SUM(H138:H142),2)</f>
        <v>0</v>
      </c>
      <c r="J143" s="303"/>
      <c r="K143" s="116"/>
      <c r="Q143" s="19" t="s">
        <v>247</v>
      </c>
      <c r="R143" s="11"/>
      <c r="S143" s="11"/>
      <c r="T143" s="11"/>
      <c r="U143" s="91"/>
      <c r="V143" s="91"/>
      <c r="W143" s="81">
        <f t="shared" si="12"/>
        <v>0</v>
      </c>
      <c r="X143" s="128"/>
      <c r="Y143" s="136"/>
      <c r="Z143" s="136"/>
    </row>
    <row r="144" spans="2:26" x14ac:dyDescent="0.15">
      <c r="B144" s="27" t="s">
        <v>248</v>
      </c>
      <c r="C144" s="17"/>
      <c r="D144" s="17"/>
      <c r="E144" s="17"/>
      <c r="F144" s="17"/>
      <c r="G144" s="17"/>
      <c r="H144" s="28" t="s">
        <v>249</v>
      </c>
      <c r="I144" s="93">
        <f>SUM(I135,I143)</f>
        <v>0</v>
      </c>
      <c r="J144" s="304">
        <f>J135+J143</f>
        <v>0</v>
      </c>
      <c r="K144" s="115">
        <f>K135+K143</f>
        <v>0</v>
      </c>
      <c r="Q144" s="62" t="s">
        <v>235</v>
      </c>
      <c r="R144" s="11"/>
      <c r="S144" s="11"/>
      <c r="T144" s="11"/>
      <c r="U144" s="279"/>
      <c r="V144" s="279"/>
      <c r="W144" s="280" t="s">
        <v>236</v>
      </c>
      <c r="X144" s="92">
        <f>ROUND(SUM(W129:W143),2)</f>
        <v>0</v>
      </c>
      <c r="Y144" s="109">
        <f>D102</f>
        <v>0</v>
      </c>
      <c r="Z144" s="109">
        <f>D103</f>
        <v>0</v>
      </c>
    </row>
    <row r="145" spans="2:26" x14ac:dyDescent="0.15">
      <c r="B145" s="31" t="s">
        <v>250</v>
      </c>
      <c r="C145" s="32"/>
      <c r="D145" s="30"/>
      <c r="E145" s="30"/>
      <c r="F145" s="33"/>
      <c r="G145" s="33"/>
      <c r="H145" s="34" t="s">
        <v>251</v>
      </c>
      <c r="I145" s="72"/>
      <c r="Q145" s="62"/>
      <c r="R145" s="11"/>
      <c r="S145" s="11"/>
      <c r="T145" s="11"/>
      <c r="U145" s="279"/>
      <c r="V145" s="279"/>
      <c r="W145" s="281"/>
      <c r="X145" s="282"/>
      <c r="Y145" s="282"/>
      <c r="Z145" s="282"/>
    </row>
    <row r="146" spans="2:26" x14ac:dyDescent="0.15">
      <c r="B146" s="27"/>
      <c r="C146" s="17"/>
      <c r="D146" s="17"/>
      <c r="E146" s="17"/>
      <c r="F146" s="51"/>
      <c r="G146" s="51"/>
      <c r="H146" s="20"/>
      <c r="I146" s="18"/>
      <c r="Q146" s="6" t="s">
        <v>238</v>
      </c>
      <c r="R146" s="8"/>
      <c r="S146" s="8"/>
      <c r="T146" s="8"/>
      <c r="U146" s="283"/>
      <c r="V146" s="283"/>
      <c r="W146" s="284"/>
      <c r="X146" s="80"/>
      <c r="Y146" s="113"/>
      <c r="Z146" s="114"/>
    </row>
    <row r="147" spans="2:26" x14ac:dyDescent="0.15">
      <c r="B147" s="35" t="s">
        <v>252</v>
      </c>
      <c r="C147" s="36"/>
      <c r="D147" s="36"/>
      <c r="E147" s="36"/>
      <c r="F147" s="36"/>
      <c r="G147" s="36"/>
      <c r="H147" s="37"/>
      <c r="I147" s="94"/>
      <c r="J147" s="305"/>
      <c r="K147" s="39"/>
      <c r="Q147" s="29" t="s">
        <v>142</v>
      </c>
      <c r="R147" s="30"/>
      <c r="S147" s="30"/>
      <c r="T147" s="30"/>
      <c r="U147" s="285"/>
      <c r="V147" s="285"/>
      <c r="W147" s="81">
        <f>F93</f>
        <v>0</v>
      </c>
      <c r="X147" s="128"/>
      <c r="Y147" s="136"/>
      <c r="Z147" s="136"/>
    </row>
    <row r="148" spans="2:26" x14ac:dyDescent="0.15">
      <c r="B148" s="40" t="s">
        <v>253</v>
      </c>
      <c r="C148" s="41"/>
      <c r="D148" s="41"/>
      <c r="E148" s="41"/>
      <c r="F148" s="41"/>
      <c r="G148" s="41" t="s">
        <v>254</v>
      </c>
      <c r="H148" s="41"/>
      <c r="I148" s="41"/>
      <c r="K148" s="42"/>
      <c r="Q148" s="16" t="s">
        <v>143</v>
      </c>
      <c r="R148" s="17"/>
      <c r="S148" s="17"/>
      <c r="T148" s="17"/>
      <c r="U148" s="286"/>
      <c r="V148" s="286"/>
      <c r="W148" s="81">
        <f>F94</f>
        <v>0</v>
      </c>
      <c r="X148" s="128"/>
      <c r="Y148" s="136"/>
      <c r="Z148" s="136"/>
    </row>
    <row r="149" spans="2:26" x14ac:dyDescent="0.15">
      <c r="B149" s="40" t="s">
        <v>255</v>
      </c>
      <c r="C149" s="41"/>
      <c r="D149" s="41"/>
      <c r="E149" s="41"/>
      <c r="F149" s="41"/>
      <c r="G149" s="41" t="s">
        <v>256</v>
      </c>
      <c r="H149" s="41"/>
      <c r="I149" s="41"/>
      <c r="K149" s="42"/>
      <c r="Q149" s="16" t="s">
        <v>144</v>
      </c>
      <c r="R149" s="17"/>
      <c r="S149" s="17"/>
      <c r="T149" s="17"/>
      <c r="U149" s="286"/>
      <c r="V149" s="286"/>
      <c r="W149" s="81">
        <f>F95</f>
        <v>0</v>
      </c>
      <c r="X149" s="128"/>
      <c r="Y149" s="136"/>
      <c r="Z149" s="136"/>
    </row>
    <row r="150" spans="2:26" x14ac:dyDescent="0.15">
      <c r="B150" s="40" t="s">
        <v>257</v>
      </c>
      <c r="C150" s="41"/>
      <c r="D150" s="41"/>
      <c r="E150" s="41"/>
      <c r="F150" s="41"/>
      <c r="G150" s="41" t="s">
        <v>258</v>
      </c>
      <c r="H150" s="41"/>
      <c r="I150" s="41"/>
      <c r="K150" s="42"/>
      <c r="Q150" s="16" t="s">
        <v>145</v>
      </c>
      <c r="R150" s="17"/>
      <c r="S150" s="17"/>
      <c r="T150" s="17"/>
      <c r="U150" s="286"/>
      <c r="V150" s="286"/>
      <c r="W150" s="81">
        <f>F96</f>
        <v>0</v>
      </c>
      <c r="X150" s="128"/>
      <c r="Y150" s="136"/>
      <c r="Z150" s="136"/>
    </row>
    <row r="151" spans="2:26" x14ac:dyDescent="0.15">
      <c r="B151" s="40" t="s">
        <v>259</v>
      </c>
      <c r="C151" s="41"/>
      <c r="D151" s="41"/>
      <c r="E151" s="41"/>
      <c r="F151" s="41"/>
      <c r="G151" s="41"/>
      <c r="H151" s="41"/>
      <c r="I151" s="41"/>
      <c r="K151" s="42"/>
      <c r="Q151" s="16" t="s">
        <v>146</v>
      </c>
      <c r="R151" s="17"/>
      <c r="S151" s="17"/>
      <c r="T151" s="17"/>
      <c r="U151" s="286"/>
      <c r="V151" s="286"/>
      <c r="W151" s="81">
        <f>F97</f>
        <v>0</v>
      </c>
      <c r="X151" s="129"/>
      <c r="Y151" s="136"/>
      <c r="Z151" s="136"/>
    </row>
    <row r="152" spans="2:26" x14ac:dyDescent="0.15">
      <c r="B152" s="12"/>
      <c r="C152" s="43"/>
      <c r="D152" s="43"/>
      <c r="E152" s="43"/>
      <c r="F152" s="43"/>
      <c r="G152" s="43"/>
      <c r="H152" s="43"/>
      <c r="I152" s="43"/>
      <c r="K152" s="44"/>
      <c r="Q152" s="27" t="s">
        <v>245</v>
      </c>
      <c r="R152" s="17"/>
      <c r="S152" s="17"/>
      <c r="T152" s="17"/>
      <c r="U152" s="17"/>
      <c r="V152" s="17"/>
      <c r="W152" s="28" t="s">
        <v>246</v>
      </c>
      <c r="X152" s="112">
        <f>ROUND(SUM(W147:W151),2)</f>
        <v>0</v>
      </c>
      <c r="Y152" s="116"/>
      <c r="Z152" s="116"/>
    </row>
    <row r="153" spans="2:26" x14ac:dyDescent="0.15">
      <c r="B153" s="334"/>
      <c r="C153" s="335"/>
      <c r="D153" s="335"/>
      <c r="E153" s="185"/>
      <c r="F153" s="185"/>
      <c r="G153" s="333"/>
      <c r="H153" s="333"/>
      <c r="I153" s="333"/>
      <c r="K153" s="44"/>
      <c r="Q153" s="27" t="s">
        <v>248</v>
      </c>
      <c r="R153" s="17"/>
      <c r="S153" s="17"/>
      <c r="T153" s="17"/>
      <c r="U153" s="17"/>
      <c r="V153" s="17"/>
      <c r="W153" s="28" t="s">
        <v>249</v>
      </c>
      <c r="X153" s="93">
        <f>SUM(X144,X152)</f>
        <v>0</v>
      </c>
      <c r="Y153" s="115">
        <f>Y144+Y152</f>
        <v>0</v>
      </c>
      <c r="Z153" s="115">
        <f>Z144+Z152</f>
        <v>0</v>
      </c>
    </row>
    <row r="154" spans="2:26" x14ac:dyDescent="0.15">
      <c r="B154" s="12"/>
      <c r="C154" s="68" t="s">
        <v>260</v>
      </c>
      <c r="D154" s="43"/>
      <c r="E154" s="43"/>
      <c r="F154" s="43"/>
      <c r="G154" s="43"/>
      <c r="H154" s="68" t="s">
        <v>261</v>
      </c>
      <c r="I154" s="43"/>
      <c r="K154" s="44"/>
      <c r="Q154" s="31" t="s">
        <v>250</v>
      </c>
      <c r="R154" s="32"/>
      <c r="S154" s="30"/>
      <c r="T154" s="30"/>
      <c r="U154" s="33"/>
      <c r="V154" s="33"/>
      <c r="W154" s="34" t="s">
        <v>251</v>
      </c>
      <c r="X154" s="287">
        <f>I145</f>
        <v>0</v>
      </c>
      <c r="Y154" s="1"/>
    </row>
    <row r="155" spans="2:26" x14ac:dyDescent="0.15">
      <c r="B155" s="12"/>
      <c r="C155" s="43"/>
      <c r="D155" s="43"/>
      <c r="E155" s="43"/>
      <c r="F155" s="43"/>
      <c r="G155" s="43"/>
      <c r="H155" s="43"/>
      <c r="I155" s="43"/>
      <c r="K155" s="44"/>
    </row>
    <row r="156" spans="2:26" x14ac:dyDescent="0.15">
      <c r="B156" s="334"/>
      <c r="C156" s="335"/>
      <c r="D156" s="335"/>
      <c r="E156" s="185"/>
      <c r="F156" s="185"/>
      <c r="G156" s="336"/>
      <c r="H156" s="336"/>
      <c r="I156" s="336"/>
      <c r="K156" s="44"/>
    </row>
    <row r="157" spans="2:26" x14ac:dyDescent="0.15">
      <c r="B157" s="12"/>
      <c r="C157" s="67" t="s">
        <v>262</v>
      </c>
      <c r="D157" s="43"/>
      <c r="E157" s="43"/>
      <c r="F157" s="43"/>
      <c r="G157" s="43"/>
      <c r="H157" s="67" t="s">
        <v>262</v>
      </c>
      <c r="I157" s="43"/>
      <c r="K157" s="44"/>
    </row>
    <row r="158" spans="2:26" x14ac:dyDescent="0.15">
      <c r="B158" s="12"/>
      <c r="C158" s="43"/>
      <c r="D158" s="43"/>
      <c r="E158" s="43"/>
      <c r="F158" s="43"/>
      <c r="G158" s="43"/>
      <c r="H158" s="43"/>
      <c r="I158" s="43"/>
      <c r="J158" s="132"/>
      <c r="K158" s="44"/>
    </row>
    <row r="159" spans="2:26" ht="69" customHeight="1" x14ac:dyDescent="0.15">
      <c r="B159" s="360" t="s">
        <v>263</v>
      </c>
      <c r="C159" s="361"/>
      <c r="D159" s="43"/>
      <c r="E159" s="43"/>
      <c r="F159" s="43"/>
      <c r="G159" s="43"/>
      <c r="H159" s="43"/>
      <c r="I159" s="43"/>
      <c r="J159" s="132"/>
      <c r="K159" s="44"/>
    </row>
    <row r="160" spans="2:26" x14ac:dyDescent="0.15">
      <c r="B160" s="95" t="s">
        <v>264</v>
      </c>
      <c r="C160" s="43"/>
      <c r="D160" s="43"/>
      <c r="E160" s="43"/>
      <c r="F160" s="43"/>
      <c r="G160" s="43"/>
      <c r="H160" s="43"/>
      <c r="I160" s="43"/>
      <c r="J160" s="132"/>
      <c r="K160" s="44"/>
    </row>
    <row r="161" spans="2:11" x14ac:dyDescent="0.15">
      <c r="B161" s="32"/>
      <c r="C161" s="30"/>
      <c r="D161" s="30"/>
      <c r="E161" s="30"/>
      <c r="F161" s="30"/>
      <c r="G161" s="30"/>
      <c r="H161" s="30"/>
      <c r="I161" s="30"/>
      <c r="J161" s="306"/>
      <c r="K161" s="45"/>
    </row>
    <row r="164" spans="2:11" x14ac:dyDescent="0.15">
      <c r="B164" s="96" t="s">
        <v>265</v>
      </c>
    </row>
  </sheetData>
  <sheetProtection algorithmName="SHA-512" hashValue="IXYHUUtyGnQulxoIzc7tmzmQtLfIcSA20Pdiwj/eV2tc0D2vngUvpxLqTTZRfmWL/0bFxxqzq6TtRO3k8khQzg==" saltValue="ZiVPRArY4we44kAmqfwjhg==" spinCount="100000" sheet="1" objects="1" scenarios="1"/>
  <mergeCells count="58">
    <mergeCell ref="J112:K112"/>
    <mergeCell ref="J114:K114"/>
    <mergeCell ref="L85:O85"/>
    <mergeCell ref="L86:O86"/>
    <mergeCell ref="L80:O80"/>
    <mergeCell ref="L81:O81"/>
    <mergeCell ref="L82:O82"/>
    <mergeCell ref="L83:O83"/>
    <mergeCell ref="L84:O84"/>
    <mergeCell ref="L75:O75"/>
    <mergeCell ref="L76:O76"/>
    <mergeCell ref="L77:O77"/>
    <mergeCell ref="L78:O78"/>
    <mergeCell ref="L79:O79"/>
    <mergeCell ref="G70:K70"/>
    <mergeCell ref="L71:O71"/>
    <mergeCell ref="L72:O72"/>
    <mergeCell ref="L73:O73"/>
    <mergeCell ref="L74:O74"/>
    <mergeCell ref="B159:C159"/>
    <mergeCell ref="B75:E75"/>
    <mergeCell ref="Q19:W19"/>
    <mergeCell ref="Z19:AF19"/>
    <mergeCell ref="Z40:AF40"/>
    <mergeCell ref="B95:E95"/>
    <mergeCell ref="B96:E96"/>
    <mergeCell ref="B97:E97"/>
    <mergeCell ref="B73:E73"/>
    <mergeCell ref="B74:E74"/>
    <mergeCell ref="B86:E86"/>
    <mergeCell ref="B72:E72"/>
    <mergeCell ref="G19:K19"/>
    <mergeCell ref="B153:D153"/>
    <mergeCell ref="B77:E77"/>
    <mergeCell ref="B83:E83"/>
    <mergeCell ref="F3:J3"/>
    <mergeCell ref="G153:I153"/>
    <mergeCell ref="B156:D156"/>
    <mergeCell ref="G156:I156"/>
    <mergeCell ref="B20:B37"/>
    <mergeCell ref="B41:B54"/>
    <mergeCell ref="B57:B66"/>
    <mergeCell ref="G40:K40"/>
    <mergeCell ref="B93:E93"/>
    <mergeCell ref="B94:E94"/>
    <mergeCell ref="E101:I101"/>
    <mergeCell ref="E102:I102"/>
    <mergeCell ref="E103:I103"/>
    <mergeCell ref="B105:B106"/>
    <mergeCell ref="C105:I106"/>
    <mergeCell ref="B76:E76"/>
    <mergeCell ref="B84:E84"/>
    <mergeCell ref="B85:E85"/>
    <mergeCell ref="B78:E78"/>
    <mergeCell ref="B79:E79"/>
    <mergeCell ref="B80:E80"/>
    <mergeCell ref="B81:E81"/>
    <mergeCell ref="B82:E82"/>
  </mergeCells>
  <conditionalFormatting sqref="E21:E36 E42:E53 E58:E65">
    <cfRule type="expression" dxfId="118" priority="24">
      <formula>AND($F21&gt;0,$E21="")</formula>
    </cfRule>
  </conditionalFormatting>
  <conditionalFormatting sqref="G21:G36 G42:G53">
    <cfRule type="expression" dxfId="117" priority="26">
      <formula>AND($F21&gt;0,$G21="")</formula>
    </cfRule>
  </conditionalFormatting>
  <conditionalFormatting sqref="G72:G86">
    <cfRule type="expression" dxfId="116" priority="19">
      <formula>AND($F72&gt;0,$G72="")</formula>
    </cfRule>
  </conditionalFormatting>
  <conditionalFormatting sqref="H21:H36 H42:H53">
    <cfRule type="expression" dxfId="115" priority="23">
      <formula>AND($G21&lt;&gt;"",$H21&lt;1)</formula>
    </cfRule>
  </conditionalFormatting>
  <conditionalFormatting sqref="H72:H86">
    <cfRule type="expression" dxfId="114" priority="1">
      <formula>AND($G72&lt;&gt;"",$H72&lt;1)</formula>
    </cfRule>
  </conditionalFormatting>
  <conditionalFormatting sqref="H120:H128">
    <cfRule type="cellIs" dxfId="113" priority="33" stopIfTrue="1" operator="lessThan">
      <formula>0</formula>
    </cfRule>
  </conditionalFormatting>
  <conditionalFormatting sqref="I21:I36 I42:I53">
    <cfRule type="expression" dxfId="112" priority="25">
      <formula>AND($H21&gt;0,$H21&lt;100,$I21="")</formula>
    </cfRule>
  </conditionalFormatting>
  <conditionalFormatting sqref="I72:I86">
    <cfRule type="expression" dxfId="111" priority="17">
      <formula>AND($H72&gt;0,$H72&lt;100,$I72="")</formula>
    </cfRule>
  </conditionalFormatting>
  <conditionalFormatting sqref="I135:I144 F116:H118 G129">
    <cfRule type="cellIs" dxfId="110" priority="65" stopIfTrue="1" operator="lessThan">
      <formula>0</formula>
    </cfRule>
  </conditionalFormatting>
  <conditionalFormatting sqref="I136:K136 H146:I146">
    <cfRule type="containsText" dxfId="109" priority="61" operator="containsText" text="TRUE">
      <formula>NOT(ISERROR(SEARCH("TRUE",H136)))</formula>
    </cfRule>
    <cfRule type="containsText" dxfId="108" priority="60" operator="containsText" text="FALSE">
      <formula>NOT(ISERROR(SEARCH("FALSE",H136)))</formula>
    </cfRule>
  </conditionalFormatting>
  <conditionalFormatting sqref="J145:J146">
    <cfRule type="containsText" dxfId="107" priority="63" operator="containsText" text="OKAY">
      <formula>NOT(ISERROR(SEARCH("OKAY",J145)))</formula>
    </cfRule>
    <cfRule type="containsText" dxfId="106" priority="62" operator="containsText" text="ERROR">
      <formula>NOT(ISERROR(SEARCH("ERROR",J145)))</formula>
    </cfRule>
  </conditionalFormatting>
  <conditionalFormatting sqref="J116:K118">
    <cfRule type="cellIs" dxfId="105" priority="55" stopIfTrue="1" operator="lessThan">
      <formula>0</formula>
    </cfRule>
  </conditionalFormatting>
  <conditionalFormatting sqref="J120:K128">
    <cfRule type="cellIs" dxfId="104" priority="54" stopIfTrue="1" operator="lessThan">
      <formula>0</formula>
    </cfRule>
  </conditionalFormatting>
  <conditionalFormatting sqref="J130:K136 H130:H134">
    <cfRule type="cellIs" dxfId="103" priority="64" stopIfTrue="1" operator="lessThan">
      <formula>0</formula>
    </cfRule>
  </conditionalFormatting>
  <conditionalFormatting sqref="J138:K144">
    <cfRule type="cellIs" dxfId="102" priority="52" stopIfTrue="1" operator="lessThan">
      <formula>0</formula>
    </cfRule>
  </conditionalFormatting>
  <conditionalFormatting sqref="L93:O94 K93:K97">
    <cfRule type="containsText" dxfId="101" priority="32" operator="containsText" text="error">
      <formula>NOT(ISERROR(SEARCH("error",K93)))</formula>
    </cfRule>
  </conditionalFormatting>
  <conditionalFormatting sqref="W120:W128">
    <cfRule type="cellIs" dxfId="100" priority="11" stopIfTrue="1" operator="lessThan">
      <formula>0</formula>
    </cfRule>
  </conditionalFormatting>
  <conditionalFormatting sqref="X144:X153 U116:W118 U120:V122 V129">
    <cfRule type="cellIs" dxfId="99" priority="12" stopIfTrue="1" operator="lessThan">
      <formula>0</formula>
    </cfRule>
  </conditionalFormatting>
  <conditionalFormatting sqref="X145:Z145">
    <cfRule type="containsText" dxfId="98" priority="8" operator="containsText" text="FALSE">
      <formula>NOT(ISERROR(SEARCH("FALSE",X145)))</formula>
    </cfRule>
    <cfRule type="containsText" dxfId="97" priority="8" operator="containsText" text="TRUE">
      <formula>NOT(ISERROR(SEARCH("TRUE",X145)))</formula>
    </cfRule>
  </conditionalFormatting>
  <conditionalFormatting sqref="Y154">
    <cfRule type="containsText" dxfId="96" priority="10" operator="containsText" text="OKAY">
      <formula>NOT(ISERROR(SEARCH("OKAY",Y154)))</formula>
    </cfRule>
    <cfRule type="containsText" dxfId="95" priority="9" operator="containsText" text="ERROR">
      <formula>NOT(ISERROR(SEARCH("ERROR",Y154)))</formula>
    </cfRule>
  </conditionalFormatting>
  <conditionalFormatting sqref="Y116:Z118">
    <cfRule type="cellIs" dxfId="94" priority="6" stopIfTrue="1" operator="lessThan">
      <formula>0</formula>
    </cfRule>
  </conditionalFormatting>
  <conditionalFormatting sqref="Y120:Z128">
    <cfRule type="cellIs" dxfId="93" priority="5" stopIfTrue="1" operator="lessThan">
      <formula>0</formula>
    </cfRule>
  </conditionalFormatting>
  <conditionalFormatting sqref="Y130:Z145 F120:G122 W130:W143">
    <cfRule type="cellIs" dxfId="92" priority="34" stopIfTrue="1" operator="lessThan">
      <formula>0</formula>
    </cfRule>
  </conditionalFormatting>
  <conditionalFormatting sqref="Y147:Z153">
    <cfRule type="cellIs" dxfId="91" priority="4" stopIfTrue="1" operator="lessThan">
      <formula>0</formula>
    </cfRule>
  </conditionalFormatting>
  <conditionalFormatting sqref="AH21:AH37 AH42:AH54">
    <cfRule type="containsText" dxfId="90" priority="29" operator="containsText" text="FALSE">
      <formula>NOT(ISERROR(SEARCH("FALSE",AH21)))</formula>
    </cfRule>
    <cfRule type="containsText" dxfId="89" priority="30" stopIfTrue="1" operator="containsText" text="TRUE">
      <formula>NOT(ISERROR(SEARCH("TRUE",AH21)))</formula>
    </cfRule>
  </conditionalFormatting>
  <conditionalFormatting sqref="AH72:AH86">
    <cfRule type="containsText" dxfId="88" priority="14" stopIfTrue="1" operator="containsText" text="TRUE">
      <formula>NOT(ISERROR(SEARCH("TRUE",AH72)))</formula>
    </cfRule>
    <cfRule type="containsText" dxfId="87" priority="13" operator="containsText" text="FALSE">
      <formula>NOT(ISERROR(SEARCH("FALSE",AH72)))</formula>
    </cfRule>
  </conditionalFormatting>
  <dataValidations count="9">
    <dataValidation type="list" allowBlank="1" showInputMessage="1" showErrorMessage="1" sqref="E40 E98:E100 E107 E109:E110 T110" xr:uid="{2CB96685-7587-4DE8-8329-0568EE6F4A95}">
      <formula1>INDIRECT("TableRole[HQPRole]")</formula1>
    </dataValidation>
    <dataValidation type="list" allowBlank="1" showInputMessage="1" showErrorMessage="1" sqref="G21:G37 I21:I37 G72:G86 I72:I86 I42:I54 G42:G54" xr:uid="{E2CAFCB0-D91B-4A81-A48E-96706427DFC2}">
      <formula1>INDIRECT("TableProject[Project Nature]")</formula1>
    </dataValidation>
    <dataValidation type="decimal" allowBlank="1" showInputMessage="1" showErrorMessage="1" error="Must be between 0 and 100" prompt="Input fraction of time spent on main project (FTE in %)" sqref="H21:H37 H72:H86 H42:H54" xr:uid="{9168AEF2-43DB-4D89-9434-B26E3266419B}">
      <formula1>0</formula1>
      <formula2>100</formula2>
    </dataValidation>
    <dataValidation type="list" allowBlank="1" showInputMessage="1" showErrorMessage="1" sqref="E8" xr:uid="{87586C4F-FA7F-4130-8736-FCA8CCE06BA3}">
      <formula1>INDIRECT("InstituteTable[Institute]")</formula1>
    </dataValidation>
    <dataValidation type="list" allowBlank="1" showInputMessage="1" showErrorMessage="1" sqref="B93:E97" xr:uid="{0F6D8858-7CE4-47D9-8183-F0CBAFB269E9}">
      <formula1>INDIRECT("ICR[Indirect Cost Items]")</formula1>
    </dataValidation>
    <dataValidation type="list" allowBlank="1" showInputMessage="1" showErrorMessage="1" sqref="B72:B86 C72:E75 C86:E86" xr:uid="{E042D977-AA6B-4D7A-AEB8-9E5E7E155D60}">
      <formula1>INDIRECT("NonSalary[NonSalary Items]")</formula1>
    </dataValidation>
    <dataValidation type="list" allowBlank="1" showInputMessage="1" showErrorMessage="1" sqref="E21:E37" xr:uid="{62B615D6-3E53-46A3-97B4-891BCD12ABB3}">
      <formula1>INDIRECT("StudentRole[StudentRole]")</formula1>
    </dataValidation>
    <dataValidation type="list" allowBlank="1" showInputMessage="1" showErrorMessage="1" sqref="E58:E66" xr:uid="{28D32A8A-E3E1-4DDA-AACC-8CECE87A287D}">
      <formula1>INDIRECT("IPDCRole[NonStudentRole_IPDC]")</formula1>
    </dataValidation>
    <dataValidation type="list" allowBlank="1" showInputMessage="1" showErrorMessage="1" sqref="E42:E54" xr:uid="{4A98E32A-0529-4721-9EE6-3299D34B6F3C}">
      <formula1>INDIRECT("NonStudentRole[NonStudentRole]")</formula1>
    </dataValidation>
  </dataValidations>
  <hyperlinks>
    <hyperlink ref="B160" r:id="rId1" xr:uid="{F8290B62-41D0-4EA1-BCEC-4945C61FB469}"/>
    <hyperlink ref="B164" r:id="rId2" display="https://www.rsf-fsr.gc.ca/administer-administrer/expenditures-depenses-eng.aspx" xr:uid="{BCB25710-B2C0-477B-96F2-CC43C815688C}"/>
  </hyperlinks>
  <pageMargins left="0.25" right="0.25" top="0.75" bottom="0.75" header="0.3" footer="0.3"/>
  <pageSetup paperSize="5" scale="35" orientation="portrait" horizontalDpi="1200" verticalDpi="1200" r:id="rId3"/>
  <drawing r:id="rId4"/>
  <tableParts count="3">
    <tablePart r:id="rId5"/>
    <tablePart r:id="rId6"/>
    <tablePart r:id="rId7"/>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B063F-FB99-4B22-9C8B-2CEF34637823}">
  <sheetPr codeName="Sheet3"/>
  <dimension ref="A1:C34"/>
  <sheetViews>
    <sheetView workbookViewId="0">
      <selection activeCell="M31" sqref="M31"/>
    </sheetView>
  </sheetViews>
  <sheetFormatPr baseColWidth="10" defaultColWidth="8.83203125" defaultRowHeight="14" x14ac:dyDescent="0.15"/>
  <sheetData>
    <row r="1" spans="1:2" x14ac:dyDescent="0.15">
      <c r="A1" s="4" t="s">
        <v>266</v>
      </c>
    </row>
    <row r="2" spans="1:2" x14ac:dyDescent="0.15">
      <c r="A2" s="4" t="s">
        <v>267</v>
      </c>
    </row>
    <row r="4" spans="1:2" x14ac:dyDescent="0.15">
      <c r="A4" t="s">
        <v>268</v>
      </c>
    </row>
    <row r="6" spans="1:2" x14ac:dyDescent="0.15">
      <c r="A6" t="s">
        <v>269</v>
      </c>
    </row>
    <row r="8" spans="1:2" x14ac:dyDescent="0.15">
      <c r="A8" s="4" t="s">
        <v>270</v>
      </c>
    </row>
    <row r="9" spans="1:2" x14ac:dyDescent="0.15">
      <c r="A9" s="2" t="s">
        <v>271</v>
      </c>
    </row>
    <row r="10" spans="1:2" x14ac:dyDescent="0.15">
      <c r="A10" s="2"/>
      <c r="B10" t="s">
        <v>272</v>
      </c>
    </row>
    <row r="11" spans="1:2" x14ac:dyDescent="0.15">
      <c r="A11" s="2"/>
      <c r="B11" t="s">
        <v>273</v>
      </c>
    </row>
    <row r="12" spans="1:2" x14ac:dyDescent="0.15">
      <c r="A12" s="2" t="s">
        <v>330</v>
      </c>
    </row>
    <row r="13" spans="1:2" x14ac:dyDescent="0.15">
      <c r="A13" s="2"/>
      <c r="B13" s="2" t="s">
        <v>274</v>
      </c>
    </row>
    <row r="14" spans="1:2" x14ac:dyDescent="0.15">
      <c r="B14" s="2" t="s">
        <v>275</v>
      </c>
    </row>
    <row r="15" spans="1:2" x14ac:dyDescent="0.15">
      <c r="A15" t="s">
        <v>276</v>
      </c>
    </row>
    <row r="16" spans="1:2" x14ac:dyDescent="0.15">
      <c r="A16" t="s">
        <v>277</v>
      </c>
    </row>
    <row r="19" spans="1:3" x14ac:dyDescent="0.15">
      <c r="A19" s="4" t="s">
        <v>278</v>
      </c>
    </row>
    <row r="20" spans="1:3" x14ac:dyDescent="0.15">
      <c r="A20" t="s">
        <v>279</v>
      </c>
    </row>
    <row r="21" spans="1:3" x14ac:dyDescent="0.15">
      <c r="B21" s="2" t="s">
        <v>280</v>
      </c>
    </row>
    <row r="22" spans="1:3" x14ac:dyDescent="0.15">
      <c r="B22" s="2" t="s">
        <v>281</v>
      </c>
    </row>
    <row r="23" spans="1:3" x14ac:dyDescent="0.15">
      <c r="A23" t="s">
        <v>282</v>
      </c>
    </row>
    <row r="24" spans="1:3" x14ac:dyDescent="0.15">
      <c r="B24" s="2" t="s">
        <v>283</v>
      </c>
    </row>
    <row r="25" spans="1:3" x14ac:dyDescent="0.15">
      <c r="C25" t="s">
        <v>284</v>
      </c>
    </row>
    <row r="28" spans="1:3" x14ac:dyDescent="0.15">
      <c r="A28" t="s">
        <v>285</v>
      </c>
    </row>
    <row r="30" spans="1:3" x14ac:dyDescent="0.15">
      <c r="A30" t="s">
        <v>286</v>
      </c>
    </row>
    <row r="33" spans="1:1" x14ac:dyDescent="0.15">
      <c r="A33" t="s">
        <v>287</v>
      </c>
    </row>
    <row r="34" spans="1:1" x14ac:dyDescent="0.15">
      <c r="A34" s="50" t="s">
        <v>265</v>
      </c>
    </row>
  </sheetData>
  <sheetProtection algorithmName="SHA-512" hashValue="5yxgQSJTROGwLkthdPaN67xJfaZjAJ90crKdEN/ChVq5OHurZKv7nRsivcFOBOJZSW502QPIF/nVwVf9QyiHZQ==" saltValue="7imV0HGxSiLuIGCkz8HhYw==" spinCount="100000" sheet="1" objects="1" scenarios="1"/>
  <hyperlinks>
    <hyperlink ref="A34" r:id="rId1" display="https://www.rsf-fsr.gc.ca/administer-administrer/expenditures-depenses-eng.aspx" xr:uid="{92A7BD5C-6ADF-43FA-B00E-3CA64EC88CD7}"/>
  </hyperlinks>
  <pageMargins left="0.7" right="0.7" top="0.75" bottom="0.75" header="0.3" footer="0.3"/>
  <pageSetup orientation="portrait"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C8C0A-EBD8-4AAD-BC4B-D490F3D3E7D6}">
  <sheetPr codeName="Sheet4"/>
  <dimension ref="A1:J174"/>
  <sheetViews>
    <sheetView topLeftCell="A58" workbookViewId="0">
      <selection activeCell="O15" sqref="O15"/>
    </sheetView>
  </sheetViews>
  <sheetFormatPr baseColWidth="10" defaultColWidth="9" defaultRowHeight="14" outlineLevelRow="1" x14ac:dyDescent="0.15"/>
  <cols>
    <col min="2" max="2" width="12.6640625" customWidth="1"/>
    <col min="3" max="3" width="9.33203125" customWidth="1"/>
    <col min="4" max="8" width="20.5" customWidth="1"/>
    <col min="9" max="9" width="17.5" customWidth="1"/>
    <col min="10" max="10" width="10.5" customWidth="1"/>
    <col min="11" max="11" width="14.5" customWidth="1"/>
    <col min="12" max="12" width="15.83203125" customWidth="1"/>
  </cols>
  <sheetData>
    <row r="1" spans="1:8" x14ac:dyDescent="0.15">
      <c r="B1" s="4" t="s">
        <v>10</v>
      </c>
    </row>
    <row r="2" spans="1:8" x14ac:dyDescent="0.15">
      <c r="B2" t="s">
        <v>288</v>
      </c>
    </row>
    <row r="4" spans="1:8" x14ac:dyDescent="0.15">
      <c r="B4" t="s">
        <v>289</v>
      </c>
    </row>
    <row r="5" spans="1:8" ht="15" thickBot="1" x14ac:dyDescent="0.2"/>
    <row r="6" spans="1:8" ht="15" thickBot="1" x14ac:dyDescent="0.2">
      <c r="B6" s="4" t="s">
        <v>290</v>
      </c>
      <c r="D6" s="397" t="str">
        <f>'YY-YY Q#'!E8</f>
        <v>FILL IN</v>
      </c>
    </row>
    <row r="8" spans="1:8" outlineLevel="1" x14ac:dyDescent="0.15">
      <c r="B8" s="137" t="s">
        <v>291</v>
      </c>
      <c r="C8" s="134"/>
      <c r="D8" s="134"/>
      <c r="E8" s="134"/>
      <c r="F8" s="134"/>
      <c r="G8" s="134"/>
      <c r="H8" s="134"/>
    </row>
    <row r="9" spans="1:8" outlineLevel="1" x14ac:dyDescent="0.15">
      <c r="B9" s="4" t="s">
        <v>292</v>
      </c>
      <c r="C9" s="4" t="s">
        <v>293</v>
      </c>
      <c r="D9" s="135" t="s">
        <v>294</v>
      </c>
      <c r="E9" s="135" t="s">
        <v>192</v>
      </c>
      <c r="F9" s="135" t="s">
        <v>205</v>
      </c>
      <c r="G9" s="135" t="s">
        <v>195</v>
      </c>
      <c r="H9" s="135" t="s">
        <v>208</v>
      </c>
    </row>
    <row r="10" spans="1:8" outlineLevel="1" x14ac:dyDescent="0.15">
      <c r="A10">
        <v>1</v>
      </c>
      <c r="B10" s="1" t="s">
        <v>295</v>
      </c>
      <c r="C10" s="1" t="s">
        <v>89</v>
      </c>
      <c r="D10" s="138">
        <v>0</v>
      </c>
      <c r="E10" s="138">
        <v>0</v>
      </c>
      <c r="F10" s="138">
        <f>D10+E10</f>
        <v>0</v>
      </c>
      <c r="G10" s="138"/>
      <c r="H10" s="138"/>
    </row>
    <row r="11" spans="1:8" outlineLevel="1" x14ac:dyDescent="0.15">
      <c r="A11">
        <v>2</v>
      </c>
      <c r="B11" s="1" t="s">
        <v>295</v>
      </c>
      <c r="C11" s="1" t="s">
        <v>93</v>
      </c>
      <c r="D11" s="138">
        <v>0</v>
      </c>
      <c r="E11" s="138">
        <v>0</v>
      </c>
      <c r="F11" s="138">
        <f t="shared" ref="F11:F33" si="0">D11+E11</f>
        <v>0</v>
      </c>
      <c r="G11" s="138"/>
      <c r="H11" s="138"/>
    </row>
    <row r="12" spans="1:8" outlineLevel="1" x14ac:dyDescent="0.15">
      <c r="A12">
        <v>3</v>
      </c>
      <c r="B12" s="1" t="s">
        <v>295</v>
      </c>
      <c r="C12" s="1" t="s">
        <v>97</v>
      </c>
      <c r="D12" s="138">
        <v>0</v>
      </c>
      <c r="E12" s="138">
        <v>0</v>
      </c>
      <c r="F12" s="138">
        <f t="shared" si="0"/>
        <v>0</v>
      </c>
      <c r="G12" s="138"/>
      <c r="H12" s="138"/>
    </row>
    <row r="13" spans="1:8" outlineLevel="1" x14ac:dyDescent="0.15">
      <c r="A13">
        <v>4</v>
      </c>
      <c r="B13" s="1" t="s">
        <v>295</v>
      </c>
      <c r="C13" s="1" t="s">
        <v>102</v>
      </c>
      <c r="D13" s="138">
        <v>0</v>
      </c>
      <c r="E13" s="138">
        <v>0</v>
      </c>
      <c r="F13" s="138">
        <f t="shared" si="0"/>
        <v>0</v>
      </c>
      <c r="G13" s="138"/>
      <c r="H13" s="138"/>
    </row>
    <row r="14" spans="1:8" outlineLevel="1" x14ac:dyDescent="0.15">
      <c r="A14">
        <v>5</v>
      </c>
      <c r="B14" s="1" t="s">
        <v>296</v>
      </c>
      <c r="C14" s="1" t="s">
        <v>89</v>
      </c>
      <c r="D14" s="138">
        <v>0</v>
      </c>
      <c r="E14" s="138">
        <v>0</v>
      </c>
      <c r="F14" s="138">
        <f t="shared" si="0"/>
        <v>0</v>
      </c>
      <c r="G14" s="138"/>
      <c r="H14" s="138"/>
    </row>
    <row r="15" spans="1:8" outlineLevel="1" x14ac:dyDescent="0.15">
      <c r="A15">
        <v>6</v>
      </c>
      <c r="B15" s="1" t="s">
        <v>296</v>
      </c>
      <c r="C15" s="1" t="s">
        <v>93</v>
      </c>
      <c r="D15" s="138">
        <v>0</v>
      </c>
      <c r="E15" s="138">
        <v>0</v>
      </c>
      <c r="F15" s="138">
        <f t="shared" si="0"/>
        <v>0</v>
      </c>
      <c r="G15" s="138"/>
      <c r="H15" s="138"/>
    </row>
    <row r="16" spans="1:8" outlineLevel="1" x14ac:dyDescent="0.15">
      <c r="A16">
        <v>7</v>
      </c>
      <c r="B16" s="1" t="s">
        <v>296</v>
      </c>
      <c r="C16" s="1" t="s">
        <v>97</v>
      </c>
      <c r="D16" s="138">
        <v>0</v>
      </c>
      <c r="E16" s="138">
        <v>0</v>
      </c>
      <c r="F16" s="138">
        <f t="shared" si="0"/>
        <v>0</v>
      </c>
      <c r="G16" s="138"/>
      <c r="H16" s="138"/>
    </row>
    <row r="17" spans="1:8" outlineLevel="1" x14ac:dyDescent="0.15">
      <c r="A17">
        <v>8</v>
      </c>
      <c r="B17" s="1" t="s">
        <v>296</v>
      </c>
      <c r="C17" s="1" t="s">
        <v>102</v>
      </c>
      <c r="D17" s="138">
        <v>0</v>
      </c>
      <c r="E17" s="138">
        <v>0</v>
      </c>
      <c r="F17" s="138">
        <f t="shared" si="0"/>
        <v>0</v>
      </c>
      <c r="G17" s="138"/>
      <c r="H17" s="138"/>
    </row>
    <row r="18" spans="1:8" outlineLevel="1" x14ac:dyDescent="0.15">
      <c r="A18">
        <v>9</v>
      </c>
      <c r="B18" s="1" t="s">
        <v>297</v>
      </c>
      <c r="C18" s="1" t="s">
        <v>89</v>
      </c>
      <c r="D18" s="138">
        <v>0</v>
      </c>
      <c r="E18" s="138">
        <v>0</v>
      </c>
      <c r="F18" s="138">
        <f t="shared" si="0"/>
        <v>0</v>
      </c>
      <c r="G18" s="138"/>
      <c r="H18" s="138"/>
    </row>
    <row r="19" spans="1:8" outlineLevel="1" x14ac:dyDescent="0.15">
      <c r="A19">
        <v>10</v>
      </c>
      <c r="B19" s="1" t="s">
        <v>297</v>
      </c>
      <c r="C19" s="1" t="s">
        <v>93</v>
      </c>
      <c r="D19" s="138">
        <v>0</v>
      </c>
      <c r="E19" s="138">
        <v>0</v>
      </c>
      <c r="F19" s="138">
        <f t="shared" si="0"/>
        <v>0</v>
      </c>
      <c r="G19" s="138"/>
      <c r="H19" s="138"/>
    </row>
    <row r="20" spans="1:8" outlineLevel="1" x14ac:dyDescent="0.15">
      <c r="A20">
        <v>11</v>
      </c>
      <c r="B20" s="1" t="s">
        <v>297</v>
      </c>
      <c r="C20" s="1" t="s">
        <v>97</v>
      </c>
      <c r="D20" s="138">
        <v>0</v>
      </c>
      <c r="E20" s="138">
        <v>0</v>
      </c>
      <c r="F20" s="138">
        <f t="shared" si="0"/>
        <v>0</v>
      </c>
      <c r="G20" s="138"/>
      <c r="H20" s="138"/>
    </row>
    <row r="21" spans="1:8" outlineLevel="1" x14ac:dyDescent="0.15">
      <c r="A21">
        <v>12</v>
      </c>
      <c r="B21" s="1" t="s">
        <v>297</v>
      </c>
      <c r="C21" s="1" t="s">
        <v>102</v>
      </c>
      <c r="D21" s="138">
        <v>0</v>
      </c>
      <c r="E21" s="138">
        <v>0</v>
      </c>
      <c r="F21" s="138">
        <f t="shared" si="0"/>
        <v>0</v>
      </c>
      <c r="G21" s="138"/>
      <c r="H21" s="138"/>
    </row>
    <row r="22" spans="1:8" outlineLevel="1" x14ac:dyDescent="0.15">
      <c r="A22">
        <v>13</v>
      </c>
      <c r="B22" s="1" t="s">
        <v>298</v>
      </c>
      <c r="C22" s="1" t="s">
        <v>89</v>
      </c>
      <c r="D22" s="138">
        <v>0</v>
      </c>
      <c r="E22" s="138">
        <v>0</v>
      </c>
      <c r="F22" s="138">
        <f t="shared" si="0"/>
        <v>0</v>
      </c>
      <c r="G22" s="138"/>
      <c r="H22" s="138"/>
    </row>
    <row r="23" spans="1:8" outlineLevel="1" x14ac:dyDescent="0.15">
      <c r="A23">
        <v>14</v>
      </c>
      <c r="B23" s="1" t="s">
        <v>298</v>
      </c>
      <c r="C23" s="1" t="s">
        <v>93</v>
      </c>
      <c r="D23" s="138">
        <v>0</v>
      </c>
      <c r="E23" s="138">
        <v>0</v>
      </c>
      <c r="F23" s="138">
        <f t="shared" si="0"/>
        <v>0</v>
      </c>
      <c r="G23" s="138"/>
      <c r="H23" s="138"/>
    </row>
    <row r="24" spans="1:8" outlineLevel="1" x14ac:dyDescent="0.15">
      <c r="A24">
        <v>15</v>
      </c>
      <c r="B24" s="1" t="s">
        <v>298</v>
      </c>
      <c r="C24" s="1" t="s">
        <v>97</v>
      </c>
      <c r="D24" s="138">
        <v>0</v>
      </c>
      <c r="E24" s="138">
        <v>0</v>
      </c>
      <c r="F24" s="138">
        <f t="shared" si="0"/>
        <v>0</v>
      </c>
      <c r="G24" s="138"/>
      <c r="H24" s="138"/>
    </row>
    <row r="25" spans="1:8" outlineLevel="1" x14ac:dyDescent="0.15">
      <c r="A25">
        <v>16</v>
      </c>
      <c r="B25" s="1" t="s">
        <v>298</v>
      </c>
      <c r="C25" s="1" t="s">
        <v>102</v>
      </c>
      <c r="D25" s="138">
        <v>0</v>
      </c>
      <c r="E25" s="138">
        <v>0</v>
      </c>
      <c r="F25" s="138">
        <f t="shared" si="0"/>
        <v>0</v>
      </c>
      <c r="G25" s="138"/>
      <c r="H25" s="138"/>
    </row>
    <row r="26" spans="1:8" outlineLevel="1" x14ac:dyDescent="0.15">
      <c r="A26">
        <v>17</v>
      </c>
      <c r="B26" s="1" t="s">
        <v>299</v>
      </c>
      <c r="C26" s="1" t="s">
        <v>89</v>
      </c>
      <c r="D26" s="138">
        <v>0</v>
      </c>
      <c r="E26" s="138">
        <v>0</v>
      </c>
      <c r="F26" s="138">
        <f t="shared" si="0"/>
        <v>0</v>
      </c>
      <c r="G26" s="138"/>
      <c r="H26" s="138"/>
    </row>
    <row r="27" spans="1:8" outlineLevel="1" x14ac:dyDescent="0.15">
      <c r="A27">
        <v>18</v>
      </c>
      <c r="B27" s="1" t="s">
        <v>299</v>
      </c>
      <c r="C27" s="1" t="s">
        <v>93</v>
      </c>
      <c r="D27" s="138">
        <v>0</v>
      </c>
      <c r="E27" s="138">
        <v>0</v>
      </c>
      <c r="F27" s="138">
        <f t="shared" si="0"/>
        <v>0</v>
      </c>
      <c r="G27" s="138"/>
      <c r="H27" s="138"/>
    </row>
    <row r="28" spans="1:8" outlineLevel="1" x14ac:dyDescent="0.15">
      <c r="A28">
        <v>19</v>
      </c>
      <c r="B28" s="1" t="s">
        <v>299</v>
      </c>
      <c r="C28" s="1" t="s">
        <v>97</v>
      </c>
      <c r="D28" s="138">
        <v>0</v>
      </c>
      <c r="E28" s="138">
        <v>0</v>
      </c>
      <c r="F28" s="138">
        <f t="shared" si="0"/>
        <v>0</v>
      </c>
      <c r="G28" s="138"/>
      <c r="H28" s="138"/>
    </row>
    <row r="29" spans="1:8" outlineLevel="1" x14ac:dyDescent="0.15">
      <c r="A29">
        <v>20</v>
      </c>
      <c r="B29" s="1" t="s">
        <v>299</v>
      </c>
      <c r="C29" s="1" t="s">
        <v>102</v>
      </c>
      <c r="D29" s="138">
        <v>0</v>
      </c>
      <c r="E29" s="138">
        <v>0</v>
      </c>
      <c r="F29" s="138">
        <f t="shared" si="0"/>
        <v>0</v>
      </c>
      <c r="G29" s="138"/>
      <c r="H29" s="138"/>
    </row>
    <row r="30" spans="1:8" outlineLevel="1" x14ac:dyDescent="0.15">
      <c r="A30">
        <v>21</v>
      </c>
      <c r="B30" s="1" t="s">
        <v>300</v>
      </c>
      <c r="C30" s="1" t="s">
        <v>89</v>
      </c>
      <c r="D30" s="138">
        <v>0</v>
      </c>
      <c r="E30" s="138">
        <v>0</v>
      </c>
      <c r="F30" s="138">
        <f t="shared" si="0"/>
        <v>0</v>
      </c>
      <c r="G30" s="138"/>
      <c r="H30" s="138"/>
    </row>
    <row r="31" spans="1:8" outlineLevel="1" x14ac:dyDescent="0.15">
      <c r="A31">
        <v>22</v>
      </c>
      <c r="B31" s="1" t="s">
        <v>300</v>
      </c>
      <c r="C31" s="1" t="s">
        <v>93</v>
      </c>
      <c r="D31" s="138">
        <v>0</v>
      </c>
      <c r="E31" s="138">
        <v>0</v>
      </c>
      <c r="F31" s="138">
        <f t="shared" si="0"/>
        <v>0</v>
      </c>
      <c r="G31" s="138"/>
      <c r="H31" s="138"/>
    </row>
    <row r="32" spans="1:8" outlineLevel="1" x14ac:dyDescent="0.15">
      <c r="A32">
        <v>23</v>
      </c>
      <c r="B32" s="1" t="s">
        <v>300</v>
      </c>
      <c r="C32" s="1" t="s">
        <v>97</v>
      </c>
      <c r="D32" s="138">
        <v>0</v>
      </c>
      <c r="E32" s="138">
        <v>0</v>
      </c>
      <c r="F32" s="138">
        <f t="shared" si="0"/>
        <v>0</v>
      </c>
      <c r="G32" s="138"/>
      <c r="H32" s="138"/>
    </row>
    <row r="33" spans="1:8" outlineLevel="1" x14ac:dyDescent="0.15">
      <c r="A33">
        <v>24</v>
      </c>
      <c r="B33" s="1" t="s">
        <v>300</v>
      </c>
      <c r="C33" s="1" t="s">
        <v>102</v>
      </c>
      <c r="D33" s="138">
        <v>0</v>
      </c>
      <c r="E33" s="138">
        <v>0</v>
      </c>
      <c r="F33" s="138">
        <f t="shared" si="0"/>
        <v>0</v>
      </c>
      <c r="G33" s="138"/>
      <c r="H33" s="138"/>
    </row>
    <row r="34" spans="1:8" outlineLevel="1" x14ac:dyDescent="0.15"/>
    <row r="35" spans="1:8" outlineLevel="1" x14ac:dyDescent="0.15"/>
    <row r="36" spans="1:8" outlineLevel="1" x14ac:dyDescent="0.15">
      <c r="B36" s="137" t="s">
        <v>301</v>
      </c>
      <c r="C36" s="134"/>
      <c r="D36" s="134"/>
      <c r="E36" s="134"/>
      <c r="F36" s="134"/>
      <c r="G36" s="134"/>
      <c r="H36" s="134"/>
    </row>
    <row r="37" spans="1:8" outlineLevel="1" x14ac:dyDescent="0.15">
      <c r="B37" s="135" t="s">
        <v>292</v>
      </c>
      <c r="C37" s="135" t="s">
        <v>293</v>
      </c>
      <c r="D37" s="135" t="s">
        <v>294</v>
      </c>
      <c r="E37" s="135" t="s">
        <v>192</v>
      </c>
      <c r="F37" s="135" t="s">
        <v>205</v>
      </c>
      <c r="G37" s="135" t="s">
        <v>195</v>
      </c>
      <c r="H37" s="135" t="s">
        <v>208</v>
      </c>
    </row>
    <row r="38" spans="1:8" outlineLevel="1" x14ac:dyDescent="0.15">
      <c r="A38">
        <v>1</v>
      </c>
      <c r="B38" s="1" t="s">
        <v>295</v>
      </c>
      <c r="C38" s="1" t="s">
        <v>89</v>
      </c>
      <c r="D38" s="138">
        <f>D10</f>
        <v>0</v>
      </c>
      <c r="E38" s="138">
        <f>E10</f>
        <v>0</v>
      </c>
      <c r="F38" s="138">
        <f>F10</f>
        <v>0</v>
      </c>
      <c r="G38" s="138">
        <f>G10</f>
        <v>0</v>
      </c>
      <c r="H38" s="138">
        <f>H10</f>
        <v>0</v>
      </c>
    </row>
    <row r="39" spans="1:8" outlineLevel="1" x14ac:dyDescent="0.15">
      <c r="A39">
        <v>2</v>
      </c>
      <c r="B39" s="1" t="s">
        <v>295</v>
      </c>
      <c r="C39" s="1" t="s">
        <v>93</v>
      </c>
      <c r="D39" s="138">
        <f t="shared" ref="D39:D57" si="1">D38+D11</f>
        <v>0</v>
      </c>
      <c r="E39" s="138">
        <f t="shared" ref="E39:E57" si="2">E38+E11</f>
        <v>0</v>
      </c>
      <c r="F39" s="138">
        <f t="shared" ref="F39:F57" si="3">F38+F11</f>
        <v>0</v>
      </c>
      <c r="G39" s="138">
        <f t="shared" ref="G39:G57" si="4">G38+G11</f>
        <v>0</v>
      </c>
      <c r="H39" s="138">
        <f t="shared" ref="H39:H57" si="5">H38+H11</f>
        <v>0</v>
      </c>
    </row>
    <row r="40" spans="1:8" outlineLevel="1" x14ac:dyDescent="0.15">
      <c r="A40">
        <v>3</v>
      </c>
      <c r="B40" s="1" t="s">
        <v>295</v>
      </c>
      <c r="C40" s="1" t="s">
        <v>97</v>
      </c>
      <c r="D40" s="138">
        <f t="shared" si="1"/>
        <v>0</v>
      </c>
      <c r="E40" s="138">
        <f t="shared" si="2"/>
        <v>0</v>
      </c>
      <c r="F40" s="138">
        <f t="shared" si="3"/>
        <v>0</v>
      </c>
      <c r="G40" s="138">
        <f t="shared" si="4"/>
        <v>0</v>
      </c>
      <c r="H40" s="138">
        <f t="shared" si="5"/>
        <v>0</v>
      </c>
    </row>
    <row r="41" spans="1:8" outlineLevel="1" x14ac:dyDescent="0.15">
      <c r="A41">
        <v>4</v>
      </c>
      <c r="B41" s="1" t="s">
        <v>295</v>
      </c>
      <c r="C41" s="1" t="s">
        <v>102</v>
      </c>
      <c r="D41" s="138">
        <f t="shared" si="1"/>
        <v>0</v>
      </c>
      <c r="E41" s="138">
        <f t="shared" si="2"/>
        <v>0</v>
      </c>
      <c r="F41" s="138">
        <f t="shared" si="3"/>
        <v>0</v>
      </c>
      <c r="G41" s="138">
        <f t="shared" si="4"/>
        <v>0</v>
      </c>
      <c r="H41" s="138">
        <f t="shared" si="5"/>
        <v>0</v>
      </c>
    </row>
    <row r="42" spans="1:8" outlineLevel="1" x14ac:dyDescent="0.15">
      <c r="A42">
        <v>5</v>
      </c>
      <c r="B42" s="1" t="s">
        <v>296</v>
      </c>
      <c r="C42" s="1" t="s">
        <v>89</v>
      </c>
      <c r="D42" s="138">
        <f t="shared" si="1"/>
        <v>0</v>
      </c>
      <c r="E42" s="138">
        <f t="shared" si="2"/>
        <v>0</v>
      </c>
      <c r="F42" s="138">
        <f t="shared" si="3"/>
        <v>0</v>
      </c>
      <c r="G42" s="138">
        <f t="shared" si="4"/>
        <v>0</v>
      </c>
      <c r="H42" s="138">
        <f t="shared" si="5"/>
        <v>0</v>
      </c>
    </row>
    <row r="43" spans="1:8" outlineLevel="1" x14ac:dyDescent="0.15">
      <c r="A43">
        <v>6</v>
      </c>
      <c r="B43" s="1" t="s">
        <v>296</v>
      </c>
      <c r="C43" s="1" t="s">
        <v>93</v>
      </c>
      <c r="D43" s="138">
        <f t="shared" si="1"/>
        <v>0</v>
      </c>
      <c r="E43" s="138">
        <f t="shared" si="2"/>
        <v>0</v>
      </c>
      <c r="F43" s="138">
        <f t="shared" si="3"/>
        <v>0</v>
      </c>
      <c r="G43" s="138">
        <f t="shared" si="4"/>
        <v>0</v>
      </c>
      <c r="H43" s="138">
        <f t="shared" si="5"/>
        <v>0</v>
      </c>
    </row>
    <row r="44" spans="1:8" outlineLevel="1" x14ac:dyDescent="0.15">
      <c r="A44">
        <v>7</v>
      </c>
      <c r="B44" s="1" t="s">
        <v>296</v>
      </c>
      <c r="C44" s="1" t="s">
        <v>97</v>
      </c>
      <c r="D44" s="138">
        <f t="shared" si="1"/>
        <v>0</v>
      </c>
      <c r="E44" s="138">
        <f t="shared" si="2"/>
        <v>0</v>
      </c>
      <c r="F44" s="138">
        <f t="shared" si="3"/>
        <v>0</v>
      </c>
      <c r="G44" s="138">
        <f t="shared" si="4"/>
        <v>0</v>
      </c>
      <c r="H44" s="138">
        <f t="shared" si="5"/>
        <v>0</v>
      </c>
    </row>
    <row r="45" spans="1:8" outlineLevel="1" x14ac:dyDescent="0.15">
      <c r="A45">
        <v>8</v>
      </c>
      <c r="B45" s="1" t="s">
        <v>296</v>
      </c>
      <c r="C45" s="1" t="s">
        <v>102</v>
      </c>
      <c r="D45" s="138">
        <f t="shared" si="1"/>
        <v>0</v>
      </c>
      <c r="E45" s="138">
        <f t="shared" si="2"/>
        <v>0</v>
      </c>
      <c r="F45" s="138">
        <f t="shared" si="3"/>
        <v>0</v>
      </c>
      <c r="G45" s="138">
        <f t="shared" si="4"/>
        <v>0</v>
      </c>
      <c r="H45" s="138">
        <f t="shared" si="5"/>
        <v>0</v>
      </c>
    </row>
    <row r="46" spans="1:8" outlineLevel="1" x14ac:dyDescent="0.15">
      <c r="A46">
        <v>9</v>
      </c>
      <c r="B46" s="1" t="s">
        <v>297</v>
      </c>
      <c r="C46" s="1" t="s">
        <v>89</v>
      </c>
      <c r="D46" s="138">
        <f t="shared" si="1"/>
        <v>0</v>
      </c>
      <c r="E46" s="138">
        <f t="shared" si="2"/>
        <v>0</v>
      </c>
      <c r="F46" s="138">
        <f t="shared" si="3"/>
        <v>0</v>
      </c>
      <c r="G46" s="138">
        <f t="shared" si="4"/>
        <v>0</v>
      </c>
      <c r="H46" s="138">
        <f t="shared" si="5"/>
        <v>0</v>
      </c>
    </row>
    <row r="47" spans="1:8" outlineLevel="1" x14ac:dyDescent="0.15">
      <c r="A47">
        <v>10</v>
      </c>
      <c r="B47" s="1" t="s">
        <v>297</v>
      </c>
      <c r="C47" s="1" t="s">
        <v>93</v>
      </c>
      <c r="D47" s="138">
        <f t="shared" si="1"/>
        <v>0</v>
      </c>
      <c r="E47" s="138">
        <f t="shared" si="2"/>
        <v>0</v>
      </c>
      <c r="F47" s="138">
        <f t="shared" si="3"/>
        <v>0</v>
      </c>
      <c r="G47" s="138">
        <f t="shared" si="4"/>
        <v>0</v>
      </c>
      <c r="H47" s="138">
        <f t="shared" si="5"/>
        <v>0</v>
      </c>
    </row>
    <row r="48" spans="1:8" outlineLevel="1" x14ac:dyDescent="0.15">
      <c r="A48">
        <v>11</v>
      </c>
      <c r="B48" s="1" t="s">
        <v>297</v>
      </c>
      <c r="C48" s="1" t="s">
        <v>97</v>
      </c>
      <c r="D48" s="138">
        <f t="shared" si="1"/>
        <v>0</v>
      </c>
      <c r="E48" s="138">
        <f t="shared" si="2"/>
        <v>0</v>
      </c>
      <c r="F48" s="138">
        <f t="shared" si="3"/>
        <v>0</v>
      </c>
      <c r="G48" s="138">
        <f t="shared" si="4"/>
        <v>0</v>
      </c>
      <c r="H48" s="138">
        <f t="shared" si="5"/>
        <v>0</v>
      </c>
    </row>
    <row r="49" spans="1:10" outlineLevel="1" x14ac:dyDescent="0.15">
      <c r="A49">
        <v>12</v>
      </c>
      <c r="B49" s="1" t="s">
        <v>297</v>
      </c>
      <c r="C49" s="1" t="s">
        <v>102</v>
      </c>
      <c r="D49" s="138">
        <f t="shared" si="1"/>
        <v>0</v>
      </c>
      <c r="E49" s="138">
        <f t="shared" si="2"/>
        <v>0</v>
      </c>
      <c r="F49" s="138">
        <f t="shared" si="3"/>
        <v>0</v>
      </c>
      <c r="G49" s="138">
        <f t="shared" si="4"/>
        <v>0</v>
      </c>
      <c r="H49" s="138">
        <f t="shared" si="5"/>
        <v>0</v>
      </c>
    </row>
    <row r="50" spans="1:10" outlineLevel="1" x14ac:dyDescent="0.15">
      <c r="A50">
        <v>13</v>
      </c>
      <c r="B50" s="1" t="s">
        <v>298</v>
      </c>
      <c r="C50" s="1" t="s">
        <v>89</v>
      </c>
      <c r="D50" s="138">
        <f t="shared" si="1"/>
        <v>0</v>
      </c>
      <c r="E50" s="138">
        <f t="shared" si="2"/>
        <v>0</v>
      </c>
      <c r="F50" s="138">
        <f t="shared" si="3"/>
        <v>0</v>
      </c>
      <c r="G50" s="138">
        <f t="shared" si="4"/>
        <v>0</v>
      </c>
      <c r="H50" s="138">
        <f t="shared" si="5"/>
        <v>0</v>
      </c>
    </row>
    <row r="51" spans="1:10" outlineLevel="1" x14ac:dyDescent="0.15">
      <c r="A51">
        <v>14</v>
      </c>
      <c r="B51" s="1" t="s">
        <v>298</v>
      </c>
      <c r="C51" s="1" t="s">
        <v>93</v>
      </c>
      <c r="D51" s="138">
        <f t="shared" si="1"/>
        <v>0</v>
      </c>
      <c r="E51" s="138">
        <f t="shared" si="2"/>
        <v>0</v>
      </c>
      <c r="F51" s="138">
        <f t="shared" si="3"/>
        <v>0</v>
      </c>
      <c r="G51" s="138">
        <f t="shared" si="4"/>
        <v>0</v>
      </c>
      <c r="H51" s="138">
        <f t="shared" si="5"/>
        <v>0</v>
      </c>
    </row>
    <row r="52" spans="1:10" outlineLevel="1" x14ac:dyDescent="0.15">
      <c r="A52">
        <v>15</v>
      </c>
      <c r="B52" s="1" t="s">
        <v>298</v>
      </c>
      <c r="C52" s="1" t="s">
        <v>97</v>
      </c>
      <c r="D52" s="138">
        <f t="shared" si="1"/>
        <v>0</v>
      </c>
      <c r="E52" s="138">
        <f t="shared" si="2"/>
        <v>0</v>
      </c>
      <c r="F52" s="138">
        <f t="shared" si="3"/>
        <v>0</v>
      </c>
      <c r="G52" s="138">
        <f t="shared" si="4"/>
        <v>0</v>
      </c>
      <c r="H52" s="138">
        <f t="shared" si="5"/>
        <v>0</v>
      </c>
    </row>
    <row r="53" spans="1:10" outlineLevel="1" x14ac:dyDescent="0.15">
      <c r="A53">
        <v>16</v>
      </c>
      <c r="B53" s="1" t="s">
        <v>298</v>
      </c>
      <c r="C53" s="1" t="s">
        <v>102</v>
      </c>
      <c r="D53" s="138">
        <f t="shared" si="1"/>
        <v>0</v>
      </c>
      <c r="E53" s="138">
        <f t="shared" si="2"/>
        <v>0</v>
      </c>
      <c r="F53" s="138">
        <f t="shared" si="3"/>
        <v>0</v>
      </c>
      <c r="G53" s="138">
        <f t="shared" si="4"/>
        <v>0</v>
      </c>
      <c r="H53" s="138">
        <f t="shared" si="5"/>
        <v>0</v>
      </c>
    </row>
    <row r="54" spans="1:10" outlineLevel="1" x14ac:dyDescent="0.15">
      <c r="A54">
        <v>17</v>
      </c>
      <c r="B54" s="1" t="s">
        <v>299</v>
      </c>
      <c r="C54" s="1" t="s">
        <v>89</v>
      </c>
      <c r="D54" s="138">
        <f t="shared" si="1"/>
        <v>0</v>
      </c>
      <c r="E54" s="138">
        <f t="shared" si="2"/>
        <v>0</v>
      </c>
      <c r="F54" s="138">
        <f t="shared" si="3"/>
        <v>0</v>
      </c>
      <c r="G54" s="138">
        <f t="shared" si="4"/>
        <v>0</v>
      </c>
      <c r="H54" s="138">
        <f t="shared" si="5"/>
        <v>0</v>
      </c>
    </row>
    <row r="55" spans="1:10" outlineLevel="1" x14ac:dyDescent="0.15">
      <c r="A55">
        <v>18</v>
      </c>
      <c r="B55" s="1" t="s">
        <v>299</v>
      </c>
      <c r="C55" s="1" t="s">
        <v>93</v>
      </c>
      <c r="D55" s="138">
        <f t="shared" si="1"/>
        <v>0</v>
      </c>
      <c r="E55" s="138">
        <f t="shared" si="2"/>
        <v>0</v>
      </c>
      <c r="F55" s="138">
        <f t="shared" si="3"/>
        <v>0</v>
      </c>
      <c r="G55" s="138">
        <f t="shared" si="4"/>
        <v>0</v>
      </c>
      <c r="H55" s="138">
        <f t="shared" si="5"/>
        <v>0</v>
      </c>
    </row>
    <row r="56" spans="1:10" outlineLevel="1" x14ac:dyDescent="0.15">
      <c r="A56">
        <v>19</v>
      </c>
      <c r="B56" s="1" t="s">
        <v>299</v>
      </c>
      <c r="C56" s="1" t="s">
        <v>97</v>
      </c>
      <c r="D56" s="138">
        <f t="shared" si="1"/>
        <v>0</v>
      </c>
      <c r="E56" s="138">
        <f t="shared" si="2"/>
        <v>0</v>
      </c>
      <c r="F56" s="138">
        <f t="shared" si="3"/>
        <v>0</v>
      </c>
      <c r="G56" s="138">
        <f t="shared" si="4"/>
        <v>0</v>
      </c>
      <c r="H56" s="138">
        <f t="shared" si="5"/>
        <v>0</v>
      </c>
    </row>
    <row r="57" spans="1:10" outlineLevel="1" x14ac:dyDescent="0.15">
      <c r="A57">
        <v>20</v>
      </c>
      <c r="B57" s="1" t="s">
        <v>299</v>
      </c>
      <c r="C57" s="1" t="s">
        <v>102</v>
      </c>
      <c r="D57" s="138">
        <f t="shared" si="1"/>
        <v>0</v>
      </c>
      <c r="E57" s="138">
        <f t="shared" si="2"/>
        <v>0</v>
      </c>
      <c r="F57" s="138">
        <f t="shared" si="3"/>
        <v>0</v>
      </c>
      <c r="G57" s="138">
        <f t="shared" si="4"/>
        <v>0</v>
      </c>
      <c r="H57" s="138">
        <f t="shared" si="5"/>
        <v>0</v>
      </c>
    </row>
    <row r="58" spans="1:10" outlineLevel="1" x14ac:dyDescent="0.15">
      <c r="A58">
        <v>21</v>
      </c>
      <c r="B58" s="1" t="s">
        <v>300</v>
      </c>
      <c r="C58" s="1" t="s">
        <v>89</v>
      </c>
      <c r="D58" s="138">
        <f t="shared" ref="D58:H58" si="6">D57+D30</f>
        <v>0</v>
      </c>
      <c r="E58" s="138">
        <f t="shared" si="6"/>
        <v>0</v>
      </c>
      <c r="F58" s="138">
        <f t="shared" si="6"/>
        <v>0</v>
      </c>
      <c r="G58" s="138">
        <f t="shared" si="6"/>
        <v>0</v>
      </c>
      <c r="H58" s="138">
        <f t="shared" si="6"/>
        <v>0</v>
      </c>
    </row>
    <row r="59" spans="1:10" outlineLevel="1" x14ac:dyDescent="0.15">
      <c r="A59">
        <v>22</v>
      </c>
      <c r="B59" s="1" t="s">
        <v>300</v>
      </c>
      <c r="C59" s="1" t="s">
        <v>93</v>
      </c>
      <c r="D59" s="138">
        <f t="shared" ref="D59:H59" si="7">D58+D31</f>
        <v>0</v>
      </c>
      <c r="E59" s="138">
        <f t="shared" si="7"/>
        <v>0</v>
      </c>
      <c r="F59" s="138">
        <f t="shared" si="7"/>
        <v>0</v>
      </c>
      <c r="G59" s="138">
        <f t="shared" si="7"/>
        <v>0</v>
      </c>
      <c r="H59" s="138">
        <f t="shared" si="7"/>
        <v>0</v>
      </c>
    </row>
    <row r="60" spans="1:10" outlineLevel="1" x14ac:dyDescent="0.15">
      <c r="A60">
        <v>23</v>
      </c>
      <c r="B60" s="1" t="s">
        <v>300</v>
      </c>
      <c r="C60" s="1" t="s">
        <v>97</v>
      </c>
      <c r="D60" s="138">
        <f t="shared" ref="D60:H60" si="8">D59+D32</f>
        <v>0</v>
      </c>
      <c r="E60" s="138">
        <f t="shared" si="8"/>
        <v>0</v>
      </c>
      <c r="F60" s="138">
        <f t="shared" si="8"/>
        <v>0</v>
      </c>
      <c r="G60" s="138">
        <f t="shared" si="8"/>
        <v>0</v>
      </c>
      <c r="H60" s="138">
        <f t="shared" si="8"/>
        <v>0</v>
      </c>
    </row>
    <row r="61" spans="1:10" outlineLevel="1" x14ac:dyDescent="0.15">
      <c r="A61">
        <v>24</v>
      </c>
      <c r="B61" s="1" t="s">
        <v>300</v>
      </c>
      <c r="C61" s="1" t="s">
        <v>102</v>
      </c>
      <c r="D61" s="138">
        <f>D60+D33</f>
        <v>0</v>
      </c>
      <c r="E61" s="138">
        <f t="shared" ref="E61:H61" si="9">E60+E33</f>
        <v>0</v>
      </c>
      <c r="F61" s="138">
        <f t="shared" si="9"/>
        <v>0</v>
      </c>
      <c r="G61" s="138">
        <f t="shared" si="9"/>
        <v>0</v>
      </c>
      <c r="H61" s="138">
        <f t="shared" si="9"/>
        <v>0</v>
      </c>
    </row>
    <row r="62" spans="1:10" outlineLevel="1" x14ac:dyDescent="0.15"/>
    <row r="63" spans="1:10" outlineLevel="1" x14ac:dyDescent="0.15">
      <c r="C63" s="139" t="s">
        <v>302</v>
      </c>
      <c r="D63" s="140">
        <f>SUM(D10:D33)</f>
        <v>0</v>
      </c>
      <c r="E63" s="140">
        <f>SUM(E10:E33)</f>
        <v>0</v>
      </c>
      <c r="F63" s="140">
        <f>SUM(F10:F33)</f>
        <v>0</v>
      </c>
      <c r="G63" s="141"/>
      <c r="H63" s="141"/>
    </row>
    <row r="64" spans="1:10" ht="15" outlineLevel="1" thickBot="1" x14ac:dyDescent="0.2">
      <c r="C64" s="139" t="s">
        <v>303</v>
      </c>
      <c r="D64" s="69">
        <f>D61-D63</f>
        <v>0</v>
      </c>
      <c r="E64" s="69">
        <f>E61-E63</f>
        <v>0</v>
      </c>
      <c r="F64" s="69">
        <f>F61-F63</f>
        <v>0</v>
      </c>
      <c r="G64" s="69">
        <f t="shared" ref="G64" si="10">G57-G63</f>
        <v>0</v>
      </c>
      <c r="H64" s="69">
        <f t="shared" ref="H64" si="11">H57-H63</f>
        <v>0</v>
      </c>
      <c r="J64" s="106"/>
    </row>
    <row r="65" spans="1:9" outlineLevel="1" x14ac:dyDescent="0.15"/>
    <row r="66" spans="1:9" outlineLevel="1" x14ac:dyDescent="0.15"/>
    <row r="67" spans="1:9" x14ac:dyDescent="0.15">
      <c r="B67" s="137" t="s">
        <v>304</v>
      </c>
      <c r="C67" s="134"/>
      <c r="D67" s="134"/>
      <c r="E67" s="134"/>
      <c r="F67" s="134"/>
      <c r="G67" s="134"/>
      <c r="H67" s="134"/>
    </row>
    <row r="68" spans="1:9" x14ac:dyDescent="0.15">
      <c r="B68" s="4" t="s">
        <v>292</v>
      </c>
      <c r="C68" s="4" t="s">
        <v>293</v>
      </c>
      <c r="D68" s="135" t="s">
        <v>294</v>
      </c>
      <c r="E68" s="135" t="s">
        <v>192</v>
      </c>
      <c r="F68" s="135" t="s">
        <v>205</v>
      </c>
      <c r="G68" s="135" t="s">
        <v>195</v>
      </c>
      <c r="H68" s="135" t="s">
        <v>208</v>
      </c>
      <c r="I68" s="135" t="s">
        <v>305</v>
      </c>
    </row>
    <row r="69" spans="1:9" x14ac:dyDescent="0.15">
      <c r="A69">
        <v>1</v>
      </c>
      <c r="B69" s="1" t="s">
        <v>295</v>
      </c>
      <c r="C69" s="1" t="s">
        <v>89</v>
      </c>
      <c r="D69" s="138">
        <f>'YY-YY Q#'!$I$135</f>
        <v>0</v>
      </c>
      <c r="E69" s="138">
        <f>'YY-YY Q#'!$I$143</f>
        <v>0</v>
      </c>
      <c r="F69" s="138">
        <f>D69+E69</f>
        <v>0</v>
      </c>
      <c r="G69" s="138">
        <f>'YY-YY Q#'!$J$144</f>
        <v>0</v>
      </c>
      <c r="H69" s="138">
        <f>'YY-YY Q#'!$K$144</f>
        <v>0</v>
      </c>
      <c r="I69" s="138">
        <f>IFERROR(E69/D69,0)</f>
        <v>0</v>
      </c>
    </row>
    <row r="70" spans="1:9" x14ac:dyDescent="0.15">
      <c r="A70">
        <v>2</v>
      </c>
      <c r="B70" s="1" t="s">
        <v>295</v>
      </c>
      <c r="C70" s="1" t="s">
        <v>93</v>
      </c>
      <c r="D70" s="138" t="e">
        <f>#REF!</f>
        <v>#REF!</v>
      </c>
      <c r="E70" s="138" t="e">
        <f>#REF!</f>
        <v>#REF!</v>
      </c>
      <c r="F70" s="138" t="e">
        <f t="shared" ref="F70:F92" si="12">D70+E70</f>
        <v>#REF!</v>
      </c>
      <c r="G70" s="138" t="e">
        <f>#REF!</f>
        <v>#REF!</v>
      </c>
      <c r="H70" s="138" t="e">
        <f>#REF!</f>
        <v>#REF!</v>
      </c>
      <c r="I70" s="138">
        <f t="shared" ref="I70:I92" si="13">IFERROR(E70/D70,0)</f>
        <v>0</v>
      </c>
    </row>
    <row r="71" spans="1:9" x14ac:dyDescent="0.15">
      <c r="A71">
        <v>3</v>
      </c>
      <c r="B71" s="1" t="s">
        <v>295</v>
      </c>
      <c r="C71" s="1" t="s">
        <v>97</v>
      </c>
      <c r="D71" s="138" t="e">
        <f>#REF!</f>
        <v>#REF!</v>
      </c>
      <c r="E71" s="138" t="e">
        <f>#REF!</f>
        <v>#REF!</v>
      </c>
      <c r="F71" s="138" t="e">
        <f t="shared" si="12"/>
        <v>#REF!</v>
      </c>
      <c r="G71" s="138" t="e">
        <f>#REF!</f>
        <v>#REF!</v>
      </c>
      <c r="H71" s="138" t="e">
        <f>#REF!</f>
        <v>#REF!</v>
      </c>
      <c r="I71" s="138">
        <f t="shared" si="13"/>
        <v>0</v>
      </c>
    </row>
    <row r="72" spans="1:9" x14ac:dyDescent="0.15">
      <c r="A72">
        <v>4</v>
      </c>
      <c r="B72" s="1" t="s">
        <v>295</v>
      </c>
      <c r="C72" s="1" t="s">
        <v>102</v>
      </c>
      <c r="D72" s="138" t="e">
        <f>#REF!</f>
        <v>#REF!</v>
      </c>
      <c r="E72" s="138" t="e">
        <f>#REF!</f>
        <v>#REF!</v>
      </c>
      <c r="F72" s="138" t="e">
        <f t="shared" si="12"/>
        <v>#REF!</v>
      </c>
      <c r="G72" s="138" t="e">
        <f>#REF!</f>
        <v>#REF!</v>
      </c>
      <c r="H72" s="138" t="e">
        <f>#REF!</f>
        <v>#REF!</v>
      </c>
      <c r="I72" s="138">
        <f t="shared" si="13"/>
        <v>0</v>
      </c>
    </row>
    <row r="73" spans="1:9" x14ac:dyDescent="0.15">
      <c r="A73">
        <v>5</v>
      </c>
      <c r="B73" s="1" t="s">
        <v>296</v>
      </c>
      <c r="C73" s="1" t="s">
        <v>89</v>
      </c>
      <c r="D73" s="138" t="e">
        <f>#REF!</f>
        <v>#REF!</v>
      </c>
      <c r="E73" s="138" t="e">
        <f>#REF!</f>
        <v>#REF!</v>
      </c>
      <c r="F73" s="138" t="e">
        <f t="shared" si="12"/>
        <v>#REF!</v>
      </c>
      <c r="G73" s="138" t="e">
        <f>#REF!</f>
        <v>#REF!</v>
      </c>
      <c r="H73" s="138" t="e">
        <f>#REF!</f>
        <v>#REF!</v>
      </c>
      <c r="I73" s="138">
        <f t="shared" si="13"/>
        <v>0</v>
      </c>
    </row>
    <row r="74" spans="1:9" x14ac:dyDescent="0.15">
      <c r="A74">
        <v>6</v>
      </c>
      <c r="B74" s="1" t="s">
        <v>296</v>
      </c>
      <c r="C74" s="1" t="s">
        <v>93</v>
      </c>
      <c r="D74" s="138" t="e">
        <f>#REF!</f>
        <v>#REF!</v>
      </c>
      <c r="E74" s="138" t="e">
        <f>#REF!</f>
        <v>#REF!</v>
      </c>
      <c r="F74" s="138" t="e">
        <f t="shared" si="12"/>
        <v>#REF!</v>
      </c>
      <c r="G74" s="138" t="e">
        <f>#REF!</f>
        <v>#REF!</v>
      </c>
      <c r="H74" s="138" t="e">
        <f>#REF!</f>
        <v>#REF!</v>
      </c>
      <c r="I74" s="138">
        <f t="shared" si="13"/>
        <v>0</v>
      </c>
    </row>
    <row r="75" spans="1:9" x14ac:dyDescent="0.15">
      <c r="A75">
        <v>7</v>
      </c>
      <c r="B75" s="1" t="s">
        <v>296</v>
      </c>
      <c r="C75" s="1" t="s">
        <v>97</v>
      </c>
      <c r="D75" s="138" t="e">
        <f>#REF!</f>
        <v>#REF!</v>
      </c>
      <c r="E75" s="138" t="e">
        <f>#REF!</f>
        <v>#REF!</v>
      </c>
      <c r="F75" s="138" t="e">
        <f t="shared" si="12"/>
        <v>#REF!</v>
      </c>
      <c r="G75" s="138" t="e">
        <f>#REF!</f>
        <v>#REF!</v>
      </c>
      <c r="H75" s="138" t="e">
        <f>#REF!</f>
        <v>#REF!</v>
      </c>
      <c r="I75" s="138">
        <f t="shared" si="13"/>
        <v>0</v>
      </c>
    </row>
    <row r="76" spans="1:9" x14ac:dyDescent="0.15">
      <c r="A76">
        <v>8</v>
      </c>
      <c r="B76" s="1" t="s">
        <v>296</v>
      </c>
      <c r="C76" s="1" t="s">
        <v>102</v>
      </c>
      <c r="D76" s="138" t="e">
        <f>#REF!</f>
        <v>#REF!</v>
      </c>
      <c r="E76" s="138" t="e">
        <f>#REF!</f>
        <v>#REF!</v>
      </c>
      <c r="F76" s="138" t="e">
        <f t="shared" si="12"/>
        <v>#REF!</v>
      </c>
      <c r="G76" s="138" t="e">
        <f>#REF!</f>
        <v>#REF!</v>
      </c>
      <c r="H76" s="138" t="e">
        <f>#REF!</f>
        <v>#REF!</v>
      </c>
      <c r="I76" s="138">
        <f t="shared" si="13"/>
        <v>0</v>
      </c>
    </row>
    <row r="77" spans="1:9" x14ac:dyDescent="0.15">
      <c r="A77">
        <v>9</v>
      </c>
      <c r="B77" s="1" t="s">
        <v>297</v>
      </c>
      <c r="C77" s="1" t="s">
        <v>89</v>
      </c>
      <c r="D77" s="138" t="e">
        <f>#REF!</f>
        <v>#REF!</v>
      </c>
      <c r="E77" s="138" t="e">
        <f>#REF!</f>
        <v>#REF!</v>
      </c>
      <c r="F77" s="138" t="e">
        <f t="shared" si="12"/>
        <v>#REF!</v>
      </c>
      <c r="G77" s="138" t="e">
        <f>#REF!</f>
        <v>#REF!</v>
      </c>
      <c r="H77" s="138" t="e">
        <f>#REF!</f>
        <v>#REF!</v>
      </c>
      <c r="I77" s="138">
        <f t="shared" si="13"/>
        <v>0</v>
      </c>
    </row>
    <row r="78" spans="1:9" x14ac:dyDescent="0.15">
      <c r="A78">
        <v>10</v>
      </c>
      <c r="B78" s="1" t="s">
        <v>297</v>
      </c>
      <c r="C78" s="1" t="s">
        <v>93</v>
      </c>
      <c r="D78" s="138" t="e">
        <f>#REF!</f>
        <v>#REF!</v>
      </c>
      <c r="E78" s="138" t="e">
        <f>#REF!</f>
        <v>#REF!</v>
      </c>
      <c r="F78" s="138" t="e">
        <f t="shared" si="12"/>
        <v>#REF!</v>
      </c>
      <c r="G78" s="138" t="e">
        <f>#REF!</f>
        <v>#REF!</v>
      </c>
      <c r="H78" s="138" t="e">
        <f>#REF!</f>
        <v>#REF!</v>
      </c>
      <c r="I78" s="138">
        <f t="shared" si="13"/>
        <v>0</v>
      </c>
    </row>
    <row r="79" spans="1:9" x14ac:dyDescent="0.15">
      <c r="A79">
        <v>11</v>
      </c>
      <c r="B79" s="1" t="s">
        <v>297</v>
      </c>
      <c r="C79" s="1" t="s">
        <v>97</v>
      </c>
      <c r="D79" s="138" t="e">
        <f>#REF!</f>
        <v>#REF!</v>
      </c>
      <c r="E79" s="138" t="e">
        <f>#REF!</f>
        <v>#REF!</v>
      </c>
      <c r="F79" s="138" t="e">
        <f t="shared" si="12"/>
        <v>#REF!</v>
      </c>
      <c r="G79" s="138" t="e">
        <f>#REF!</f>
        <v>#REF!</v>
      </c>
      <c r="H79" s="138" t="e">
        <f>#REF!</f>
        <v>#REF!</v>
      </c>
      <c r="I79" s="138">
        <f t="shared" si="13"/>
        <v>0</v>
      </c>
    </row>
    <row r="80" spans="1:9" x14ac:dyDescent="0.15">
      <c r="A80">
        <v>12</v>
      </c>
      <c r="B80" s="1" t="s">
        <v>297</v>
      </c>
      <c r="C80" s="1" t="s">
        <v>102</v>
      </c>
      <c r="D80" s="138" t="e">
        <f>#REF!</f>
        <v>#REF!</v>
      </c>
      <c r="E80" s="138" t="e">
        <f>#REF!</f>
        <v>#REF!</v>
      </c>
      <c r="F80" s="138" t="e">
        <f t="shared" si="12"/>
        <v>#REF!</v>
      </c>
      <c r="G80" s="138" t="e">
        <f>#REF!</f>
        <v>#REF!</v>
      </c>
      <c r="H80" s="138" t="e">
        <f>#REF!</f>
        <v>#REF!</v>
      </c>
      <c r="I80" s="138">
        <f t="shared" si="13"/>
        <v>0</v>
      </c>
    </row>
    <row r="81" spans="1:9" x14ac:dyDescent="0.15">
      <c r="A81">
        <v>13</v>
      </c>
      <c r="B81" s="1" t="s">
        <v>298</v>
      </c>
      <c r="C81" s="1" t="s">
        <v>89</v>
      </c>
      <c r="D81" s="138" t="e">
        <f>#REF!</f>
        <v>#REF!</v>
      </c>
      <c r="E81" s="138" t="e">
        <f>#REF!</f>
        <v>#REF!</v>
      </c>
      <c r="F81" s="138" t="e">
        <f t="shared" si="12"/>
        <v>#REF!</v>
      </c>
      <c r="G81" s="138" t="e">
        <f>#REF!</f>
        <v>#REF!</v>
      </c>
      <c r="H81" s="138" t="e">
        <f>#REF!</f>
        <v>#REF!</v>
      </c>
      <c r="I81" s="138">
        <f t="shared" si="13"/>
        <v>0</v>
      </c>
    </row>
    <row r="82" spans="1:9" x14ac:dyDescent="0.15">
      <c r="A82">
        <v>14</v>
      </c>
      <c r="B82" s="1" t="s">
        <v>298</v>
      </c>
      <c r="C82" s="1" t="s">
        <v>93</v>
      </c>
      <c r="D82" s="138" t="e">
        <f>#REF!</f>
        <v>#REF!</v>
      </c>
      <c r="E82" s="138" t="e">
        <f>#REF!</f>
        <v>#REF!</v>
      </c>
      <c r="F82" s="138" t="e">
        <f t="shared" si="12"/>
        <v>#REF!</v>
      </c>
      <c r="G82" s="138" t="e">
        <f>#REF!</f>
        <v>#REF!</v>
      </c>
      <c r="H82" s="138" t="e">
        <f>#REF!</f>
        <v>#REF!</v>
      </c>
      <c r="I82" s="138">
        <f t="shared" si="13"/>
        <v>0</v>
      </c>
    </row>
    <row r="83" spans="1:9" x14ac:dyDescent="0.15">
      <c r="A83">
        <v>15</v>
      </c>
      <c r="B83" s="1" t="s">
        <v>298</v>
      </c>
      <c r="C83" s="1" t="s">
        <v>97</v>
      </c>
      <c r="D83" s="138" t="e">
        <f>#REF!</f>
        <v>#REF!</v>
      </c>
      <c r="E83" s="138" t="e">
        <f>#REF!</f>
        <v>#REF!</v>
      </c>
      <c r="F83" s="138" t="e">
        <f t="shared" si="12"/>
        <v>#REF!</v>
      </c>
      <c r="G83" s="138" t="e">
        <f>#REF!</f>
        <v>#REF!</v>
      </c>
      <c r="H83" s="138" t="e">
        <f>#REF!</f>
        <v>#REF!</v>
      </c>
      <c r="I83" s="138">
        <f t="shared" si="13"/>
        <v>0</v>
      </c>
    </row>
    <row r="84" spans="1:9" x14ac:dyDescent="0.15">
      <c r="A84">
        <v>16</v>
      </c>
      <c r="B84" s="1" t="s">
        <v>298</v>
      </c>
      <c r="C84" s="1" t="s">
        <v>102</v>
      </c>
      <c r="D84" s="138" t="e">
        <f>#REF!</f>
        <v>#REF!</v>
      </c>
      <c r="E84" s="138" t="e">
        <f>#REF!</f>
        <v>#REF!</v>
      </c>
      <c r="F84" s="138" t="e">
        <f t="shared" si="12"/>
        <v>#REF!</v>
      </c>
      <c r="G84" s="138" t="e">
        <f>#REF!</f>
        <v>#REF!</v>
      </c>
      <c r="H84" s="138" t="e">
        <f>#REF!</f>
        <v>#REF!</v>
      </c>
      <c r="I84" s="138">
        <f t="shared" si="13"/>
        <v>0</v>
      </c>
    </row>
    <row r="85" spans="1:9" x14ac:dyDescent="0.15">
      <c r="A85">
        <v>17</v>
      </c>
      <c r="B85" s="1" t="s">
        <v>299</v>
      </c>
      <c r="C85" s="1" t="s">
        <v>89</v>
      </c>
      <c r="D85" s="138" t="e">
        <f>#REF!</f>
        <v>#REF!</v>
      </c>
      <c r="E85" s="138" t="e">
        <f>#REF!</f>
        <v>#REF!</v>
      </c>
      <c r="F85" s="138" t="e">
        <f t="shared" si="12"/>
        <v>#REF!</v>
      </c>
      <c r="G85" s="138" t="e">
        <f>#REF!</f>
        <v>#REF!</v>
      </c>
      <c r="H85" s="138" t="e">
        <f>#REF!</f>
        <v>#REF!</v>
      </c>
      <c r="I85" s="138">
        <f t="shared" si="13"/>
        <v>0</v>
      </c>
    </row>
    <row r="86" spans="1:9" x14ac:dyDescent="0.15">
      <c r="A86">
        <v>18</v>
      </c>
      <c r="B86" s="1" t="s">
        <v>299</v>
      </c>
      <c r="C86" s="1" t="s">
        <v>93</v>
      </c>
      <c r="D86" s="138" t="e">
        <f>#REF!</f>
        <v>#REF!</v>
      </c>
      <c r="E86" s="138" t="e">
        <f>#REF!</f>
        <v>#REF!</v>
      </c>
      <c r="F86" s="138" t="e">
        <f t="shared" si="12"/>
        <v>#REF!</v>
      </c>
      <c r="G86" s="138" t="e">
        <f>#REF!</f>
        <v>#REF!</v>
      </c>
      <c r="H86" s="138" t="e">
        <f>#REF!</f>
        <v>#REF!</v>
      </c>
      <c r="I86" s="138">
        <f t="shared" si="13"/>
        <v>0</v>
      </c>
    </row>
    <row r="87" spans="1:9" x14ac:dyDescent="0.15">
      <c r="A87">
        <v>19</v>
      </c>
      <c r="B87" s="1" t="s">
        <v>299</v>
      </c>
      <c r="C87" s="1" t="s">
        <v>97</v>
      </c>
      <c r="D87" s="138" t="e">
        <f>#REF!</f>
        <v>#REF!</v>
      </c>
      <c r="E87" s="138" t="e">
        <f>#REF!</f>
        <v>#REF!</v>
      </c>
      <c r="F87" s="138" t="e">
        <f t="shared" si="12"/>
        <v>#REF!</v>
      </c>
      <c r="G87" s="138" t="e">
        <f>#REF!</f>
        <v>#REF!</v>
      </c>
      <c r="H87" s="138" t="e">
        <f>#REF!</f>
        <v>#REF!</v>
      </c>
      <c r="I87" s="138">
        <f t="shared" si="13"/>
        <v>0</v>
      </c>
    </row>
    <row r="88" spans="1:9" x14ac:dyDescent="0.15">
      <c r="A88">
        <v>20</v>
      </c>
      <c r="B88" s="1" t="s">
        <v>299</v>
      </c>
      <c r="C88" s="1" t="s">
        <v>102</v>
      </c>
      <c r="D88" s="138" t="e">
        <f>#REF!</f>
        <v>#REF!</v>
      </c>
      <c r="E88" s="138" t="e">
        <f>#REF!</f>
        <v>#REF!</v>
      </c>
      <c r="F88" s="138" t="e">
        <f t="shared" si="12"/>
        <v>#REF!</v>
      </c>
      <c r="G88" s="138" t="e">
        <f>#REF!</f>
        <v>#REF!</v>
      </c>
      <c r="H88" s="138" t="e">
        <f>#REF!</f>
        <v>#REF!</v>
      </c>
      <c r="I88" s="138">
        <f t="shared" si="13"/>
        <v>0</v>
      </c>
    </row>
    <row r="89" spans="1:9" x14ac:dyDescent="0.15">
      <c r="A89">
        <v>21</v>
      </c>
      <c r="B89" s="1" t="s">
        <v>300</v>
      </c>
      <c r="C89" s="1" t="s">
        <v>89</v>
      </c>
      <c r="D89" s="138" t="e">
        <f>#REF!</f>
        <v>#REF!</v>
      </c>
      <c r="E89" s="138" t="e">
        <f>#REF!</f>
        <v>#REF!</v>
      </c>
      <c r="F89" s="138" t="e">
        <f t="shared" si="12"/>
        <v>#REF!</v>
      </c>
      <c r="G89" s="138" t="e">
        <f>#REF!</f>
        <v>#REF!</v>
      </c>
      <c r="H89" s="138" t="e">
        <f>#REF!</f>
        <v>#REF!</v>
      </c>
      <c r="I89" s="138">
        <f t="shared" si="13"/>
        <v>0</v>
      </c>
    </row>
    <row r="90" spans="1:9" x14ac:dyDescent="0.15">
      <c r="A90">
        <v>22</v>
      </c>
      <c r="B90" s="1" t="s">
        <v>300</v>
      </c>
      <c r="C90" s="1" t="s">
        <v>93</v>
      </c>
      <c r="D90" s="138" t="e">
        <f>#REF!</f>
        <v>#REF!</v>
      </c>
      <c r="E90" s="138" t="e">
        <f>#REF!</f>
        <v>#REF!</v>
      </c>
      <c r="F90" s="138" t="e">
        <f t="shared" si="12"/>
        <v>#REF!</v>
      </c>
      <c r="G90" s="138" t="e">
        <f>#REF!</f>
        <v>#REF!</v>
      </c>
      <c r="H90" s="138" t="e">
        <f>#REF!</f>
        <v>#REF!</v>
      </c>
      <c r="I90" s="138">
        <f t="shared" si="13"/>
        <v>0</v>
      </c>
    </row>
    <row r="91" spans="1:9" x14ac:dyDescent="0.15">
      <c r="A91">
        <v>23</v>
      </c>
      <c r="B91" s="1" t="s">
        <v>300</v>
      </c>
      <c r="C91" s="1" t="s">
        <v>97</v>
      </c>
      <c r="D91" s="138" t="e">
        <f>#REF!</f>
        <v>#REF!</v>
      </c>
      <c r="E91" s="138" t="e">
        <f>#REF!</f>
        <v>#REF!</v>
      </c>
      <c r="F91" s="138" t="e">
        <f t="shared" si="12"/>
        <v>#REF!</v>
      </c>
      <c r="G91" s="138" t="e">
        <f>#REF!</f>
        <v>#REF!</v>
      </c>
      <c r="H91" s="138" t="e">
        <f>#REF!</f>
        <v>#REF!</v>
      </c>
      <c r="I91" s="138">
        <f t="shared" si="13"/>
        <v>0</v>
      </c>
    </row>
    <row r="92" spans="1:9" x14ac:dyDescent="0.15">
      <c r="A92">
        <v>24</v>
      </c>
      <c r="B92" s="1" t="s">
        <v>300</v>
      </c>
      <c r="C92" s="1" t="s">
        <v>102</v>
      </c>
      <c r="D92" s="138" t="e">
        <f>#REF!</f>
        <v>#REF!</v>
      </c>
      <c r="E92" s="138" t="e">
        <f>#REF!</f>
        <v>#REF!</v>
      </c>
      <c r="F92" s="138" t="e">
        <f t="shared" si="12"/>
        <v>#REF!</v>
      </c>
      <c r="G92" s="138" t="e">
        <f>#REF!</f>
        <v>#REF!</v>
      </c>
      <c r="H92" s="138" t="e">
        <f>#REF!</f>
        <v>#REF!</v>
      </c>
      <c r="I92" s="138">
        <f t="shared" si="13"/>
        <v>0</v>
      </c>
    </row>
    <row r="95" spans="1:9" x14ac:dyDescent="0.15">
      <c r="B95" s="137" t="s">
        <v>306</v>
      </c>
      <c r="C95" s="134"/>
      <c r="D95" s="134"/>
      <c r="E95" s="134"/>
      <c r="F95" s="134"/>
      <c r="G95" s="134"/>
      <c r="H95" s="134"/>
    </row>
    <row r="96" spans="1:9" x14ac:dyDescent="0.15">
      <c r="B96" s="135" t="s">
        <v>292</v>
      </c>
      <c r="C96" s="135" t="s">
        <v>293</v>
      </c>
      <c r="D96" s="135" t="s">
        <v>294</v>
      </c>
      <c r="E96" s="135" t="s">
        <v>192</v>
      </c>
      <c r="F96" s="135" t="s">
        <v>205</v>
      </c>
      <c r="G96" s="135" t="s">
        <v>195</v>
      </c>
      <c r="H96" s="135" t="s">
        <v>208</v>
      </c>
      <c r="I96" s="135" t="s">
        <v>305</v>
      </c>
    </row>
    <row r="97" spans="1:9" x14ac:dyDescent="0.15">
      <c r="A97">
        <v>1</v>
      </c>
      <c r="B97" s="1" t="s">
        <v>295</v>
      </c>
      <c r="C97" s="1" t="s">
        <v>89</v>
      </c>
      <c r="D97" s="138">
        <f>D69</f>
        <v>0</v>
      </c>
      <c r="E97" s="138">
        <f>E69</f>
        <v>0</v>
      </c>
      <c r="F97" s="138">
        <f>F69</f>
        <v>0</v>
      </c>
      <c r="G97" s="138">
        <f>G69</f>
        <v>0</v>
      </c>
      <c r="H97" s="138">
        <f>H69</f>
        <v>0</v>
      </c>
      <c r="I97" s="138">
        <f>IFERROR(E97/D97,0)</f>
        <v>0</v>
      </c>
    </row>
    <row r="98" spans="1:9" x14ac:dyDescent="0.15">
      <c r="A98">
        <v>2</v>
      </c>
      <c r="B98" s="1" t="s">
        <v>295</v>
      </c>
      <c r="C98" s="1" t="s">
        <v>93</v>
      </c>
      <c r="D98" s="138" t="e">
        <f t="shared" ref="D98:D116" si="14">D97+D70</f>
        <v>#REF!</v>
      </c>
      <c r="E98" s="138" t="e">
        <f t="shared" ref="E98:F98" si="15">E97+E70</f>
        <v>#REF!</v>
      </c>
      <c r="F98" s="138" t="e">
        <f t="shared" si="15"/>
        <v>#REF!</v>
      </c>
      <c r="G98" s="138" t="e">
        <f>G97+G70</f>
        <v>#REF!</v>
      </c>
      <c r="H98" s="138" t="e">
        <f>H97+H70</f>
        <v>#REF!</v>
      </c>
      <c r="I98" s="138">
        <f t="shared" ref="I98:I120" si="16">IFERROR(E98/D98,0)</f>
        <v>0</v>
      </c>
    </row>
    <row r="99" spans="1:9" x14ac:dyDescent="0.15">
      <c r="A99">
        <v>3</v>
      </c>
      <c r="B99" s="1" t="s">
        <v>295</v>
      </c>
      <c r="C99" s="1" t="s">
        <v>97</v>
      </c>
      <c r="D99" s="138" t="e">
        <f t="shared" si="14"/>
        <v>#REF!</v>
      </c>
      <c r="E99" s="138" t="e">
        <f t="shared" ref="E99:E116" si="17">E98+E71</f>
        <v>#REF!</v>
      </c>
      <c r="F99" s="138" t="e">
        <f t="shared" ref="F99:F116" si="18">F98+F71</f>
        <v>#REF!</v>
      </c>
      <c r="G99" s="138" t="e">
        <f t="shared" ref="G99:H99" si="19">G98+G71</f>
        <v>#REF!</v>
      </c>
      <c r="H99" s="138" t="e">
        <f t="shared" si="19"/>
        <v>#REF!</v>
      </c>
      <c r="I99" s="138">
        <f t="shared" si="16"/>
        <v>0</v>
      </c>
    </row>
    <row r="100" spans="1:9" x14ac:dyDescent="0.15">
      <c r="A100">
        <v>4</v>
      </c>
      <c r="B100" s="1" t="s">
        <v>295</v>
      </c>
      <c r="C100" s="1" t="s">
        <v>102</v>
      </c>
      <c r="D100" s="138" t="e">
        <f t="shared" si="14"/>
        <v>#REF!</v>
      </c>
      <c r="E100" s="138" t="e">
        <f t="shared" si="17"/>
        <v>#REF!</v>
      </c>
      <c r="F100" s="138" t="e">
        <f t="shared" si="18"/>
        <v>#REF!</v>
      </c>
      <c r="G100" s="138" t="e">
        <f t="shared" ref="G100:H100" si="20">G99+G72</f>
        <v>#REF!</v>
      </c>
      <c r="H100" s="138" t="e">
        <f t="shared" si="20"/>
        <v>#REF!</v>
      </c>
      <c r="I100" s="138">
        <f t="shared" si="16"/>
        <v>0</v>
      </c>
    </row>
    <row r="101" spans="1:9" x14ac:dyDescent="0.15">
      <c r="A101">
        <v>5</v>
      </c>
      <c r="B101" s="1" t="s">
        <v>296</v>
      </c>
      <c r="C101" s="1" t="s">
        <v>89</v>
      </c>
      <c r="D101" s="138" t="e">
        <f t="shared" si="14"/>
        <v>#REF!</v>
      </c>
      <c r="E101" s="138" t="e">
        <f t="shared" si="17"/>
        <v>#REF!</v>
      </c>
      <c r="F101" s="138" t="e">
        <f t="shared" si="18"/>
        <v>#REF!</v>
      </c>
      <c r="G101" s="138" t="e">
        <f t="shared" ref="G101:H101" si="21">G100+G73</f>
        <v>#REF!</v>
      </c>
      <c r="H101" s="138" t="e">
        <f t="shared" si="21"/>
        <v>#REF!</v>
      </c>
      <c r="I101" s="138">
        <f t="shared" si="16"/>
        <v>0</v>
      </c>
    </row>
    <row r="102" spans="1:9" x14ac:dyDescent="0.15">
      <c r="A102">
        <v>6</v>
      </c>
      <c r="B102" s="1" t="s">
        <v>296</v>
      </c>
      <c r="C102" s="1" t="s">
        <v>93</v>
      </c>
      <c r="D102" s="138" t="e">
        <f t="shared" si="14"/>
        <v>#REF!</v>
      </c>
      <c r="E102" s="138" t="e">
        <f t="shared" si="17"/>
        <v>#REF!</v>
      </c>
      <c r="F102" s="138" t="e">
        <f t="shared" si="18"/>
        <v>#REF!</v>
      </c>
      <c r="G102" s="138" t="e">
        <f t="shared" ref="G102:H102" si="22">G101+G74</f>
        <v>#REF!</v>
      </c>
      <c r="H102" s="138" t="e">
        <f t="shared" si="22"/>
        <v>#REF!</v>
      </c>
      <c r="I102" s="138">
        <f t="shared" si="16"/>
        <v>0</v>
      </c>
    </row>
    <row r="103" spans="1:9" x14ac:dyDescent="0.15">
      <c r="A103">
        <v>7</v>
      </c>
      <c r="B103" s="1" t="s">
        <v>296</v>
      </c>
      <c r="C103" s="1" t="s">
        <v>97</v>
      </c>
      <c r="D103" s="138" t="e">
        <f t="shared" si="14"/>
        <v>#REF!</v>
      </c>
      <c r="E103" s="138" t="e">
        <f t="shared" si="17"/>
        <v>#REF!</v>
      </c>
      <c r="F103" s="138" t="e">
        <f t="shared" si="18"/>
        <v>#REF!</v>
      </c>
      <c r="G103" s="138" t="e">
        <f t="shared" ref="G103:H103" si="23">G102+G75</f>
        <v>#REF!</v>
      </c>
      <c r="H103" s="138" t="e">
        <f t="shared" si="23"/>
        <v>#REF!</v>
      </c>
      <c r="I103" s="138">
        <f t="shared" si="16"/>
        <v>0</v>
      </c>
    </row>
    <row r="104" spans="1:9" x14ac:dyDescent="0.15">
      <c r="A104">
        <v>8</v>
      </c>
      <c r="B104" s="1" t="s">
        <v>296</v>
      </c>
      <c r="C104" s="1" t="s">
        <v>102</v>
      </c>
      <c r="D104" s="138" t="e">
        <f t="shared" si="14"/>
        <v>#REF!</v>
      </c>
      <c r="E104" s="138" t="e">
        <f t="shared" si="17"/>
        <v>#REF!</v>
      </c>
      <c r="F104" s="138" t="e">
        <f t="shared" si="18"/>
        <v>#REF!</v>
      </c>
      <c r="G104" s="138" t="e">
        <f t="shared" ref="G104:H104" si="24">G103+G76</f>
        <v>#REF!</v>
      </c>
      <c r="H104" s="138" t="e">
        <f t="shared" si="24"/>
        <v>#REF!</v>
      </c>
      <c r="I104" s="138">
        <f t="shared" si="16"/>
        <v>0</v>
      </c>
    </row>
    <row r="105" spans="1:9" x14ac:dyDescent="0.15">
      <c r="A105">
        <v>9</v>
      </c>
      <c r="B105" s="1" t="s">
        <v>297</v>
      </c>
      <c r="C105" s="1" t="s">
        <v>89</v>
      </c>
      <c r="D105" s="138" t="e">
        <f t="shared" si="14"/>
        <v>#REF!</v>
      </c>
      <c r="E105" s="138" t="e">
        <f t="shared" si="17"/>
        <v>#REF!</v>
      </c>
      <c r="F105" s="138" t="e">
        <f t="shared" si="18"/>
        <v>#REF!</v>
      </c>
      <c r="G105" s="138" t="e">
        <f t="shared" ref="G105:H105" si="25">G104+G77</f>
        <v>#REF!</v>
      </c>
      <c r="H105" s="138" t="e">
        <f t="shared" si="25"/>
        <v>#REF!</v>
      </c>
      <c r="I105" s="138">
        <f t="shared" si="16"/>
        <v>0</v>
      </c>
    </row>
    <row r="106" spans="1:9" x14ac:dyDescent="0.15">
      <c r="A106">
        <v>10</v>
      </c>
      <c r="B106" s="1" t="s">
        <v>297</v>
      </c>
      <c r="C106" s="1" t="s">
        <v>93</v>
      </c>
      <c r="D106" s="138" t="e">
        <f t="shared" si="14"/>
        <v>#REF!</v>
      </c>
      <c r="E106" s="138" t="e">
        <f t="shared" si="17"/>
        <v>#REF!</v>
      </c>
      <c r="F106" s="138" t="e">
        <f t="shared" si="18"/>
        <v>#REF!</v>
      </c>
      <c r="G106" s="138" t="e">
        <f t="shared" ref="G106:H106" si="26">G105+G78</f>
        <v>#REF!</v>
      </c>
      <c r="H106" s="138" t="e">
        <f t="shared" si="26"/>
        <v>#REF!</v>
      </c>
      <c r="I106" s="138">
        <f t="shared" si="16"/>
        <v>0</v>
      </c>
    </row>
    <row r="107" spans="1:9" x14ac:dyDescent="0.15">
      <c r="A107">
        <v>11</v>
      </c>
      <c r="B107" s="1" t="s">
        <v>297</v>
      </c>
      <c r="C107" s="1" t="s">
        <v>97</v>
      </c>
      <c r="D107" s="138" t="e">
        <f t="shared" si="14"/>
        <v>#REF!</v>
      </c>
      <c r="E107" s="138" t="e">
        <f t="shared" si="17"/>
        <v>#REF!</v>
      </c>
      <c r="F107" s="138" t="e">
        <f t="shared" si="18"/>
        <v>#REF!</v>
      </c>
      <c r="G107" s="138" t="e">
        <f t="shared" ref="G107:H107" si="27">G106+G79</f>
        <v>#REF!</v>
      </c>
      <c r="H107" s="138" t="e">
        <f t="shared" si="27"/>
        <v>#REF!</v>
      </c>
      <c r="I107" s="138">
        <f t="shared" si="16"/>
        <v>0</v>
      </c>
    </row>
    <row r="108" spans="1:9" x14ac:dyDescent="0.15">
      <c r="A108">
        <v>12</v>
      </c>
      <c r="B108" s="1" t="s">
        <v>297</v>
      </c>
      <c r="C108" s="1" t="s">
        <v>102</v>
      </c>
      <c r="D108" s="138" t="e">
        <f t="shared" si="14"/>
        <v>#REF!</v>
      </c>
      <c r="E108" s="138" t="e">
        <f t="shared" si="17"/>
        <v>#REF!</v>
      </c>
      <c r="F108" s="138" t="e">
        <f t="shared" si="18"/>
        <v>#REF!</v>
      </c>
      <c r="G108" s="138" t="e">
        <f t="shared" ref="G108:H108" si="28">G107+G80</f>
        <v>#REF!</v>
      </c>
      <c r="H108" s="138" t="e">
        <f t="shared" si="28"/>
        <v>#REF!</v>
      </c>
      <c r="I108" s="138">
        <f t="shared" si="16"/>
        <v>0</v>
      </c>
    </row>
    <row r="109" spans="1:9" x14ac:dyDescent="0.15">
      <c r="A109">
        <v>13</v>
      </c>
      <c r="B109" s="1" t="s">
        <v>298</v>
      </c>
      <c r="C109" s="1" t="s">
        <v>89</v>
      </c>
      <c r="D109" s="138" t="e">
        <f t="shared" si="14"/>
        <v>#REF!</v>
      </c>
      <c r="E109" s="138" t="e">
        <f t="shared" si="17"/>
        <v>#REF!</v>
      </c>
      <c r="F109" s="138" t="e">
        <f t="shared" si="18"/>
        <v>#REF!</v>
      </c>
      <c r="G109" s="138" t="e">
        <f t="shared" ref="G109:H109" si="29">G108+G81</f>
        <v>#REF!</v>
      </c>
      <c r="H109" s="138" t="e">
        <f t="shared" si="29"/>
        <v>#REF!</v>
      </c>
      <c r="I109" s="138">
        <f t="shared" si="16"/>
        <v>0</v>
      </c>
    </row>
    <row r="110" spans="1:9" x14ac:dyDescent="0.15">
      <c r="A110">
        <v>14</v>
      </c>
      <c r="B110" s="1" t="s">
        <v>298</v>
      </c>
      <c r="C110" s="1" t="s">
        <v>93</v>
      </c>
      <c r="D110" s="138" t="e">
        <f t="shared" si="14"/>
        <v>#REF!</v>
      </c>
      <c r="E110" s="138" t="e">
        <f t="shared" si="17"/>
        <v>#REF!</v>
      </c>
      <c r="F110" s="138" t="e">
        <f t="shared" si="18"/>
        <v>#REF!</v>
      </c>
      <c r="G110" s="138" t="e">
        <f t="shared" ref="G110:H110" si="30">G109+G82</f>
        <v>#REF!</v>
      </c>
      <c r="H110" s="138" t="e">
        <f t="shared" si="30"/>
        <v>#REF!</v>
      </c>
      <c r="I110" s="138">
        <f t="shared" si="16"/>
        <v>0</v>
      </c>
    </row>
    <row r="111" spans="1:9" x14ac:dyDescent="0.15">
      <c r="A111">
        <v>15</v>
      </c>
      <c r="B111" s="1" t="s">
        <v>298</v>
      </c>
      <c r="C111" s="1" t="s">
        <v>97</v>
      </c>
      <c r="D111" s="138" t="e">
        <f t="shared" si="14"/>
        <v>#REF!</v>
      </c>
      <c r="E111" s="138" t="e">
        <f t="shared" si="17"/>
        <v>#REF!</v>
      </c>
      <c r="F111" s="138" t="e">
        <f t="shared" si="18"/>
        <v>#REF!</v>
      </c>
      <c r="G111" s="138" t="e">
        <f t="shared" ref="G111:H111" si="31">G110+G83</f>
        <v>#REF!</v>
      </c>
      <c r="H111" s="138" t="e">
        <f t="shared" si="31"/>
        <v>#REF!</v>
      </c>
      <c r="I111" s="138">
        <f t="shared" si="16"/>
        <v>0</v>
      </c>
    </row>
    <row r="112" spans="1:9" x14ac:dyDescent="0.15">
      <c r="A112">
        <v>16</v>
      </c>
      <c r="B112" s="1" t="s">
        <v>298</v>
      </c>
      <c r="C112" s="1" t="s">
        <v>102</v>
      </c>
      <c r="D112" s="138" t="e">
        <f t="shared" si="14"/>
        <v>#REF!</v>
      </c>
      <c r="E112" s="138" t="e">
        <f t="shared" si="17"/>
        <v>#REF!</v>
      </c>
      <c r="F112" s="138" t="e">
        <f t="shared" si="18"/>
        <v>#REF!</v>
      </c>
      <c r="G112" s="138" t="e">
        <f t="shared" ref="G112:H112" si="32">G111+G84</f>
        <v>#REF!</v>
      </c>
      <c r="H112" s="138" t="e">
        <f t="shared" si="32"/>
        <v>#REF!</v>
      </c>
      <c r="I112" s="138">
        <f t="shared" si="16"/>
        <v>0</v>
      </c>
    </row>
    <row r="113" spans="1:9" x14ac:dyDescent="0.15">
      <c r="A113">
        <v>17</v>
      </c>
      <c r="B113" s="1" t="s">
        <v>299</v>
      </c>
      <c r="C113" s="1" t="s">
        <v>89</v>
      </c>
      <c r="D113" s="138" t="e">
        <f t="shared" si="14"/>
        <v>#REF!</v>
      </c>
      <c r="E113" s="138" t="e">
        <f t="shared" si="17"/>
        <v>#REF!</v>
      </c>
      <c r="F113" s="138" t="e">
        <f t="shared" si="18"/>
        <v>#REF!</v>
      </c>
      <c r="G113" s="138" t="e">
        <f t="shared" ref="G113:H113" si="33">G112+G85</f>
        <v>#REF!</v>
      </c>
      <c r="H113" s="138" t="e">
        <f t="shared" si="33"/>
        <v>#REF!</v>
      </c>
      <c r="I113" s="138">
        <f t="shared" si="16"/>
        <v>0</v>
      </c>
    </row>
    <row r="114" spans="1:9" x14ac:dyDescent="0.15">
      <c r="A114">
        <v>18</v>
      </c>
      <c r="B114" s="1" t="s">
        <v>299</v>
      </c>
      <c r="C114" s="1" t="s">
        <v>93</v>
      </c>
      <c r="D114" s="138" t="e">
        <f t="shared" si="14"/>
        <v>#REF!</v>
      </c>
      <c r="E114" s="138" t="e">
        <f t="shared" si="17"/>
        <v>#REF!</v>
      </c>
      <c r="F114" s="138" t="e">
        <f t="shared" si="18"/>
        <v>#REF!</v>
      </c>
      <c r="G114" s="138" t="e">
        <f t="shared" ref="G114:H114" si="34">G113+G86</f>
        <v>#REF!</v>
      </c>
      <c r="H114" s="138" t="e">
        <f t="shared" si="34"/>
        <v>#REF!</v>
      </c>
      <c r="I114" s="138">
        <f t="shared" si="16"/>
        <v>0</v>
      </c>
    </row>
    <row r="115" spans="1:9" x14ac:dyDescent="0.15">
      <c r="A115">
        <v>19</v>
      </c>
      <c r="B115" s="1" t="s">
        <v>299</v>
      </c>
      <c r="C115" s="1" t="s">
        <v>97</v>
      </c>
      <c r="D115" s="138" t="e">
        <f t="shared" si="14"/>
        <v>#REF!</v>
      </c>
      <c r="E115" s="138" t="e">
        <f t="shared" si="17"/>
        <v>#REF!</v>
      </c>
      <c r="F115" s="138" t="e">
        <f t="shared" si="18"/>
        <v>#REF!</v>
      </c>
      <c r="G115" s="138" t="e">
        <f t="shared" ref="G115:H115" si="35">G114+G87</f>
        <v>#REF!</v>
      </c>
      <c r="H115" s="138" t="e">
        <f t="shared" si="35"/>
        <v>#REF!</v>
      </c>
      <c r="I115" s="138">
        <f t="shared" si="16"/>
        <v>0</v>
      </c>
    </row>
    <row r="116" spans="1:9" x14ac:dyDescent="0.15">
      <c r="A116">
        <v>20</v>
      </c>
      <c r="B116" s="1" t="s">
        <v>299</v>
      </c>
      <c r="C116" s="1" t="s">
        <v>102</v>
      </c>
      <c r="D116" s="138" t="e">
        <f t="shared" si="14"/>
        <v>#REF!</v>
      </c>
      <c r="E116" s="138" t="e">
        <f t="shared" si="17"/>
        <v>#REF!</v>
      </c>
      <c r="F116" s="138" t="e">
        <f t="shared" si="18"/>
        <v>#REF!</v>
      </c>
      <c r="G116" s="138" t="e">
        <f t="shared" ref="G116:H116" si="36">G115+G88</f>
        <v>#REF!</v>
      </c>
      <c r="H116" s="138" t="e">
        <f t="shared" si="36"/>
        <v>#REF!</v>
      </c>
      <c r="I116" s="138">
        <f t="shared" si="16"/>
        <v>0</v>
      </c>
    </row>
    <row r="117" spans="1:9" x14ac:dyDescent="0.15">
      <c r="A117">
        <v>21</v>
      </c>
      <c r="B117" s="1" t="s">
        <v>300</v>
      </c>
      <c r="C117" s="1" t="s">
        <v>89</v>
      </c>
      <c r="D117" s="138" t="e">
        <f t="shared" ref="D117:H117" si="37">D116+D89</f>
        <v>#REF!</v>
      </c>
      <c r="E117" s="138" t="e">
        <f t="shared" si="37"/>
        <v>#REF!</v>
      </c>
      <c r="F117" s="138" t="e">
        <f t="shared" si="37"/>
        <v>#REF!</v>
      </c>
      <c r="G117" s="138" t="e">
        <f t="shared" si="37"/>
        <v>#REF!</v>
      </c>
      <c r="H117" s="138" t="e">
        <f t="shared" si="37"/>
        <v>#REF!</v>
      </c>
      <c r="I117" s="138">
        <f t="shared" si="16"/>
        <v>0</v>
      </c>
    </row>
    <row r="118" spans="1:9" x14ac:dyDescent="0.15">
      <c r="A118">
        <v>22</v>
      </c>
      <c r="B118" s="1" t="s">
        <v>300</v>
      </c>
      <c r="C118" s="1" t="s">
        <v>93</v>
      </c>
      <c r="D118" s="138" t="e">
        <f t="shared" ref="D118:H118" si="38">D117+D90</f>
        <v>#REF!</v>
      </c>
      <c r="E118" s="138" t="e">
        <f t="shared" si="38"/>
        <v>#REF!</v>
      </c>
      <c r="F118" s="138" t="e">
        <f t="shared" si="38"/>
        <v>#REF!</v>
      </c>
      <c r="G118" s="138" t="e">
        <f t="shared" si="38"/>
        <v>#REF!</v>
      </c>
      <c r="H118" s="138" t="e">
        <f t="shared" si="38"/>
        <v>#REF!</v>
      </c>
      <c r="I118" s="138">
        <f t="shared" si="16"/>
        <v>0</v>
      </c>
    </row>
    <row r="119" spans="1:9" x14ac:dyDescent="0.15">
      <c r="A119">
        <v>23</v>
      </c>
      <c r="B119" s="1" t="s">
        <v>300</v>
      </c>
      <c r="C119" s="1" t="s">
        <v>97</v>
      </c>
      <c r="D119" s="138" t="e">
        <f t="shared" ref="D119:H119" si="39">D118+D91</f>
        <v>#REF!</v>
      </c>
      <c r="E119" s="138" t="e">
        <f t="shared" si="39"/>
        <v>#REF!</v>
      </c>
      <c r="F119" s="138" t="e">
        <f t="shared" si="39"/>
        <v>#REF!</v>
      </c>
      <c r="G119" s="138" t="e">
        <f t="shared" si="39"/>
        <v>#REF!</v>
      </c>
      <c r="H119" s="138" t="e">
        <f t="shared" si="39"/>
        <v>#REF!</v>
      </c>
      <c r="I119" s="138">
        <f t="shared" si="16"/>
        <v>0</v>
      </c>
    </row>
    <row r="120" spans="1:9" x14ac:dyDescent="0.15">
      <c r="A120">
        <v>24</v>
      </c>
      <c r="B120" s="1" t="s">
        <v>300</v>
      </c>
      <c r="C120" s="1" t="s">
        <v>102</v>
      </c>
      <c r="D120" s="138" t="e">
        <f t="shared" ref="D120:H120" si="40">D119+D92</f>
        <v>#REF!</v>
      </c>
      <c r="E120" s="138" t="e">
        <f t="shared" si="40"/>
        <v>#REF!</v>
      </c>
      <c r="F120" s="138" t="e">
        <f t="shared" si="40"/>
        <v>#REF!</v>
      </c>
      <c r="G120" s="138" t="e">
        <f t="shared" si="40"/>
        <v>#REF!</v>
      </c>
      <c r="H120" s="138" t="e">
        <f t="shared" si="40"/>
        <v>#REF!</v>
      </c>
      <c r="I120" s="138">
        <f t="shared" si="16"/>
        <v>0</v>
      </c>
    </row>
    <row r="122" spans="1:9" x14ac:dyDescent="0.15">
      <c r="C122" s="139" t="s">
        <v>302</v>
      </c>
      <c r="D122" s="142">
        <f>D63</f>
        <v>0</v>
      </c>
      <c r="E122" s="142">
        <f t="shared" ref="E122:F122" si="41">E63</f>
        <v>0</v>
      </c>
      <c r="F122" s="142">
        <f t="shared" si="41"/>
        <v>0</v>
      </c>
      <c r="G122" s="142"/>
      <c r="H122" s="142"/>
    </row>
    <row r="123" spans="1:9" ht="15" thickBot="1" x14ac:dyDescent="0.2">
      <c r="C123" s="139" t="s">
        <v>303</v>
      </c>
      <c r="D123" s="69" t="e">
        <f>D122-D120</f>
        <v>#REF!</v>
      </c>
      <c r="E123" s="69" t="e">
        <f t="shared" ref="E123:H123" si="42">E122-E120</f>
        <v>#REF!</v>
      </c>
      <c r="F123" s="69" t="e">
        <f t="shared" si="42"/>
        <v>#REF!</v>
      </c>
      <c r="G123" s="69" t="e">
        <f t="shared" si="42"/>
        <v>#REF!</v>
      </c>
      <c r="H123" s="69" t="e">
        <f t="shared" si="42"/>
        <v>#REF!</v>
      </c>
    </row>
    <row r="125" spans="1:9" x14ac:dyDescent="0.15">
      <c r="C125" t="s">
        <v>307</v>
      </c>
      <c r="D125" s="143">
        <f>IFERROR(D116/D122,0)</f>
        <v>0</v>
      </c>
      <c r="E125" s="143">
        <f t="shared" ref="E125:F125" si="43">IFERROR(E116/E122,0)</f>
        <v>0</v>
      </c>
      <c r="F125" s="143">
        <f t="shared" si="43"/>
        <v>0</v>
      </c>
    </row>
    <row r="129" spans="2:8" x14ac:dyDescent="0.15">
      <c r="B129" s="144" t="s">
        <v>308</v>
      </c>
      <c r="C129" s="145"/>
      <c r="D129" s="145"/>
      <c r="E129" s="145"/>
      <c r="F129" s="145"/>
      <c r="G129" s="145"/>
      <c r="H129" s="145"/>
    </row>
    <row r="130" spans="2:8" x14ac:dyDescent="0.15">
      <c r="B130" s="135" t="s">
        <v>292</v>
      </c>
      <c r="C130" s="135" t="s">
        <v>293</v>
      </c>
      <c r="D130" s="135" t="s">
        <v>294</v>
      </c>
      <c r="E130" s="135" t="s">
        <v>192</v>
      </c>
      <c r="F130" s="135" t="s">
        <v>205</v>
      </c>
      <c r="G130" s="135" t="s">
        <v>195</v>
      </c>
      <c r="H130" s="135" t="s">
        <v>208</v>
      </c>
    </row>
    <row r="131" spans="2:8" x14ac:dyDescent="0.15">
      <c r="B131" s="1" t="s">
        <v>295</v>
      </c>
      <c r="C131" s="1" t="s">
        <v>89</v>
      </c>
      <c r="D131" s="138">
        <f>D69</f>
        <v>0</v>
      </c>
      <c r="E131" s="138">
        <f>E69</f>
        <v>0</v>
      </c>
      <c r="F131" s="138">
        <f t="shared" ref="F131:H131" si="44">F69</f>
        <v>0</v>
      </c>
      <c r="G131" s="138">
        <f t="shared" si="44"/>
        <v>0</v>
      </c>
      <c r="H131" s="138">
        <f t="shared" si="44"/>
        <v>0</v>
      </c>
    </row>
    <row r="132" spans="2:8" x14ac:dyDescent="0.15">
      <c r="B132" s="1" t="s">
        <v>295</v>
      </c>
      <c r="C132" s="1" t="s">
        <v>93</v>
      </c>
      <c r="D132" s="138" t="e">
        <f>(D70+D69)/2</f>
        <v>#REF!</v>
      </c>
      <c r="E132" s="138" t="e">
        <f t="shared" ref="E132:H132" si="45">(E70+E69)/2</f>
        <v>#REF!</v>
      </c>
      <c r="F132" s="138" t="e">
        <f t="shared" si="45"/>
        <v>#REF!</v>
      </c>
      <c r="G132" s="138" t="e">
        <f t="shared" si="45"/>
        <v>#REF!</v>
      </c>
      <c r="H132" s="138" t="e">
        <f t="shared" si="45"/>
        <v>#REF!</v>
      </c>
    </row>
    <row r="133" spans="2:8" x14ac:dyDescent="0.15">
      <c r="B133" s="1" t="s">
        <v>295</v>
      </c>
      <c r="C133" s="1" t="s">
        <v>97</v>
      </c>
      <c r="D133" s="138" t="e">
        <f>SUM(D69:D71)/3</f>
        <v>#REF!</v>
      </c>
      <c r="E133" s="138" t="e">
        <f t="shared" ref="E133:H133" si="46">SUM(E69:E71)/3</f>
        <v>#REF!</v>
      </c>
      <c r="F133" s="138" t="e">
        <f t="shared" si="46"/>
        <v>#REF!</v>
      </c>
      <c r="G133" s="138" t="e">
        <f t="shared" si="46"/>
        <v>#REF!</v>
      </c>
      <c r="H133" s="138" t="e">
        <f t="shared" si="46"/>
        <v>#REF!</v>
      </c>
    </row>
    <row r="134" spans="2:8" x14ac:dyDescent="0.15">
      <c r="B134" s="1" t="s">
        <v>295</v>
      </c>
      <c r="C134" s="1" t="s">
        <v>102</v>
      </c>
      <c r="D134" s="138" t="e">
        <f>SUM(D69:D72)/4</f>
        <v>#REF!</v>
      </c>
      <c r="E134" s="138" t="e">
        <f t="shared" ref="E134:H134" si="47">SUM(E69:E72)/4</f>
        <v>#REF!</v>
      </c>
      <c r="F134" s="138" t="e">
        <f t="shared" si="47"/>
        <v>#REF!</v>
      </c>
      <c r="G134" s="138" t="e">
        <f t="shared" si="47"/>
        <v>#REF!</v>
      </c>
      <c r="H134" s="138" t="e">
        <f t="shared" si="47"/>
        <v>#REF!</v>
      </c>
    </row>
    <row r="135" spans="2:8" x14ac:dyDescent="0.15">
      <c r="B135" s="1" t="s">
        <v>296</v>
      </c>
      <c r="C135" s="1" t="s">
        <v>89</v>
      </c>
      <c r="D135" s="138" t="e">
        <f t="shared" ref="D135:H135" si="48">SUM(D70:D73)/4</f>
        <v>#REF!</v>
      </c>
      <c r="E135" s="138" t="e">
        <f t="shared" si="48"/>
        <v>#REF!</v>
      </c>
      <c r="F135" s="138" t="e">
        <f t="shared" si="48"/>
        <v>#REF!</v>
      </c>
      <c r="G135" s="138" t="e">
        <f t="shared" si="48"/>
        <v>#REF!</v>
      </c>
      <c r="H135" s="138" t="e">
        <f t="shared" si="48"/>
        <v>#REF!</v>
      </c>
    </row>
    <row r="136" spans="2:8" x14ac:dyDescent="0.15">
      <c r="B136" s="1" t="s">
        <v>296</v>
      </c>
      <c r="C136" s="1" t="s">
        <v>93</v>
      </c>
      <c r="D136" s="138" t="e">
        <f t="shared" ref="D136:H136" si="49">SUM(D71:D74)/4</f>
        <v>#REF!</v>
      </c>
      <c r="E136" s="138" t="e">
        <f t="shared" si="49"/>
        <v>#REF!</v>
      </c>
      <c r="F136" s="138" t="e">
        <f t="shared" si="49"/>
        <v>#REF!</v>
      </c>
      <c r="G136" s="138" t="e">
        <f t="shared" si="49"/>
        <v>#REF!</v>
      </c>
      <c r="H136" s="138" t="e">
        <f t="shared" si="49"/>
        <v>#REF!</v>
      </c>
    </row>
    <row r="137" spans="2:8" x14ac:dyDescent="0.15">
      <c r="B137" s="1" t="s">
        <v>296</v>
      </c>
      <c r="C137" s="1" t="s">
        <v>97</v>
      </c>
      <c r="D137" s="138" t="e">
        <f t="shared" ref="D137:H137" si="50">SUM(D72:D75)/4</f>
        <v>#REF!</v>
      </c>
      <c r="E137" s="138" t="e">
        <f t="shared" si="50"/>
        <v>#REF!</v>
      </c>
      <c r="F137" s="138" t="e">
        <f t="shared" si="50"/>
        <v>#REF!</v>
      </c>
      <c r="G137" s="138" t="e">
        <f t="shared" si="50"/>
        <v>#REF!</v>
      </c>
      <c r="H137" s="138" t="e">
        <f t="shared" si="50"/>
        <v>#REF!</v>
      </c>
    </row>
    <row r="138" spans="2:8" x14ac:dyDescent="0.15">
      <c r="B138" s="1" t="s">
        <v>296</v>
      </c>
      <c r="C138" s="1" t="s">
        <v>102</v>
      </c>
      <c r="D138" s="138" t="e">
        <f t="shared" ref="D138:H138" si="51">SUM(D73:D76)/4</f>
        <v>#REF!</v>
      </c>
      <c r="E138" s="138" t="e">
        <f t="shared" si="51"/>
        <v>#REF!</v>
      </c>
      <c r="F138" s="138" t="e">
        <f t="shared" si="51"/>
        <v>#REF!</v>
      </c>
      <c r="G138" s="138" t="e">
        <f t="shared" si="51"/>
        <v>#REF!</v>
      </c>
      <c r="H138" s="138" t="e">
        <f t="shared" si="51"/>
        <v>#REF!</v>
      </c>
    </row>
    <row r="139" spans="2:8" x14ac:dyDescent="0.15">
      <c r="B139" s="1" t="s">
        <v>297</v>
      </c>
      <c r="C139" s="1" t="s">
        <v>89</v>
      </c>
      <c r="D139" s="138" t="e">
        <f t="shared" ref="D139:H139" si="52">SUM(D74:D77)/4</f>
        <v>#REF!</v>
      </c>
      <c r="E139" s="138" t="e">
        <f t="shared" si="52"/>
        <v>#REF!</v>
      </c>
      <c r="F139" s="138" t="e">
        <f t="shared" si="52"/>
        <v>#REF!</v>
      </c>
      <c r="G139" s="138" t="e">
        <f t="shared" si="52"/>
        <v>#REF!</v>
      </c>
      <c r="H139" s="138" t="e">
        <f t="shared" si="52"/>
        <v>#REF!</v>
      </c>
    </row>
    <row r="140" spans="2:8" x14ac:dyDescent="0.15">
      <c r="B140" s="1" t="s">
        <v>297</v>
      </c>
      <c r="C140" s="1" t="s">
        <v>93</v>
      </c>
      <c r="D140" s="138" t="e">
        <f t="shared" ref="D140:H140" si="53">SUM(D75:D78)/4</f>
        <v>#REF!</v>
      </c>
      <c r="E140" s="138" t="e">
        <f t="shared" si="53"/>
        <v>#REF!</v>
      </c>
      <c r="F140" s="138" t="e">
        <f t="shared" si="53"/>
        <v>#REF!</v>
      </c>
      <c r="G140" s="138" t="e">
        <f t="shared" si="53"/>
        <v>#REF!</v>
      </c>
      <c r="H140" s="138" t="e">
        <f t="shared" si="53"/>
        <v>#REF!</v>
      </c>
    </row>
    <row r="141" spans="2:8" x14ac:dyDescent="0.15">
      <c r="B141" s="1" t="s">
        <v>297</v>
      </c>
      <c r="C141" s="1" t="s">
        <v>97</v>
      </c>
      <c r="D141" s="138" t="e">
        <f t="shared" ref="D141:H141" si="54">SUM(D76:D79)/4</f>
        <v>#REF!</v>
      </c>
      <c r="E141" s="138" t="e">
        <f t="shared" si="54"/>
        <v>#REF!</v>
      </c>
      <c r="F141" s="138" t="e">
        <f t="shared" si="54"/>
        <v>#REF!</v>
      </c>
      <c r="G141" s="138" t="e">
        <f t="shared" si="54"/>
        <v>#REF!</v>
      </c>
      <c r="H141" s="138" t="e">
        <f t="shared" si="54"/>
        <v>#REF!</v>
      </c>
    </row>
    <row r="142" spans="2:8" x14ac:dyDescent="0.15">
      <c r="B142" s="1" t="s">
        <v>297</v>
      </c>
      <c r="C142" s="1" t="s">
        <v>102</v>
      </c>
      <c r="D142" s="138" t="e">
        <f t="shared" ref="D142:H142" si="55">SUM(D77:D80)/4</f>
        <v>#REF!</v>
      </c>
      <c r="E142" s="138" t="e">
        <f t="shared" si="55"/>
        <v>#REF!</v>
      </c>
      <c r="F142" s="138" t="e">
        <f t="shared" si="55"/>
        <v>#REF!</v>
      </c>
      <c r="G142" s="138" t="e">
        <f t="shared" si="55"/>
        <v>#REF!</v>
      </c>
      <c r="H142" s="138" t="e">
        <f t="shared" si="55"/>
        <v>#REF!</v>
      </c>
    </row>
    <row r="143" spans="2:8" x14ac:dyDescent="0.15">
      <c r="B143" s="1" t="s">
        <v>298</v>
      </c>
      <c r="C143" s="1" t="s">
        <v>89</v>
      </c>
      <c r="D143" s="138" t="e">
        <f t="shared" ref="D143:H143" si="56">SUM(D78:D81)/4</f>
        <v>#REF!</v>
      </c>
      <c r="E143" s="138" t="e">
        <f t="shared" si="56"/>
        <v>#REF!</v>
      </c>
      <c r="F143" s="138" t="e">
        <f t="shared" si="56"/>
        <v>#REF!</v>
      </c>
      <c r="G143" s="138" t="e">
        <f t="shared" si="56"/>
        <v>#REF!</v>
      </c>
      <c r="H143" s="138" t="e">
        <f t="shared" si="56"/>
        <v>#REF!</v>
      </c>
    </row>
    <row r="144" spans="2:8" x14ac:dyDescent="0.15">
      <c r="B144" s="1" t="s">
        <v>298</v>
      </c>
      <c r="C144" s="1" t="s">
        <v>93</v>
      </c>
      <c r="D144" s="138" t="e">
        <f t="shared" ref="D144:H144" si="57">SUM(D79:D82)/4</f>
        <v>#REF!</v>
      </c>
      <c r="E144" s="138" t="e">
        <f t="shared" si="57"/>
        <v>#REF!</v>
      </c>
      <c r="F144" s="138" t="e">
        <f t="shared" si="57"/>
        <v>#REF!</v>
      </c>
      <c r="G144" s="138" t="e">
        <f t="shared" si="57"/>
        <v>#REF!</v>
      </c>
      <c r="H144" s="138" t="e">
        <f t="shared" si="57"/>
        <v>#REF!</v>
      </c>
    </row>
    <row r="145" spans="2:8" x14ac:dyDescent="0.15">
      <c r="B145" s="1" t="s">
        <v>298</v>
      </c>
      <c r="C145" s="1" t="s">
        <v>97</v>
      </c>
      <c r="D145" s="138" t="e">
        <f t="shared" ref="D145:H145" si="58">SUM(D80:D83)/4</f>
        <v>#REF!</v>
      </c>
      <c r="E145" s="138" t="e">
        <f t="shared" si="58"/>
        <v>#REF!</v>
      </c>
      <c r="F145" s="138" t="e">
        <f t="shared" si="58"/>
        <v>#REF!</v>
      </c>
      <c r="G145" s="138" t="e">
        <f t="shared" si="58"/>
        <v>#REF!</v>
      </c>
      <c r="H145" s="138" t="e">
        <f t="shared" si="58"/>
        <v>#REF!</v>
      </c>
    </row>
    <row r="146" spans="2:8" x14ac:dyDescent="0.15">
      <c r="B146" s="1" t="s">
        <v>298</v>
      </c>
      <c r="C146" s="1" t="s">
        <v>102</v>
      </c>
      <c r="D146" s="138" t="e">
        <f t="shared" ref="D146:H146" si="59">SUM(D81:D84)/4</f>
        <v>#REF!</v>
      </c>
      <c r="E146" s="138" t="e">
        <f t="shared" si="59"/>
        <v>#REF!</v>
      </c>
      <c r="F146" s="138" t="e">
        <f t="shared" si="59"/>
        <v>#REF!</v>
      </c>
      <c r="G146" s="138" t="e">
        <f t="shared" si="59"/>
        <v>#REF!</v>
      </c>
      <c r="H146" s="138" t="e">
        <f t="shared" si="59"/>
        <v>#REF!</v>
      </c>
    </row>
    <row r="147" spans="2:8" x14ac:dyDescent="0.15">
      <c r="B147" s="1" t="s">
        <v>299</v>
      </c>
      <c r="C147" s="1" t="s">
        <v>89</v>
      </c>
      <c r="D147" s="138" t="e">
        <f t="shared" ref="D147:H147" si="60">SUM(D82:D85)/4</f>
        <v>#REF!</v>
      </c>
      <c r="E147" s="138" t="e">
        <f t="shared" si="60"/>
        <v>#REF!</v>
      </c>
      <c r="F147" s="138" t="e">
        <f t="shared" si="60"/>
        <v>#REF!</v>
      </c>
      <c r="G147" s="138" t="e">
        <f t="shared" si="60"/>
        <v>#REF!</v>
      </c>
      <c r="H147" s="138" t="e">
        <f t="shared" si="60"/>
        <v>#REF!</v>
      </c>
    </row>
    <row r="148" spans="2:8" x14ac:dyDescent="0.15">
      <c r="B148" s="1" t="s">
        <v>299</v>
      </c>
      <c r="C148" s="1" t="s">
        <v>93</v>
      </c>
      <c r="D148" s="138" t="e">
        <f t="shared" ref="D148:H148" si="61">SUM(D83:D86)/4</f>
        <v>#REF!</v>
      </c>
      <c r="E148" s="138" t="e">
        <f t="shared" si="61"/>
        <v>#REF!</v>
      </c>
      <c r="F148" s="138" t="e">
        <f t="shared" si="61"/>
        <v>#REF!</v>
      </c>
      <c r="G148" s="138" t="e">
        <f t="shared" si="61"/>
        <v>#REF!</v>
      </c>
      <c r="H148" s="138" t="e">
        <f t="shared" si="61"/>
        <v>#REF!</v>
      </c>
    </row>
    <row r="149" spans="2:8" x14ac:dyDescent="0.15">
      <c r="B149" s="1" t="s">
        <v>299</v>
      </c>
      <c r="C149" s="1" t="s">
        <v>97</v>
      </c>
      <c r="D149" s="138" t="e">
        <f t="shared" ref="D149:H149" si="62">SUM(D84:D87)/4</f>
        <v>#REF!</v>
      </c>
      <c r="E149" s="138" t="e">
        <f t="shared" si="62"/>
        <v>#REF!</v>
      </c>
      <c r="F149" s="138" t="e">
        <f t="shared" si="62"/>
        <v>#REF!</v>
      </c>
      <c r="G149" s="138" t="e">
        <f t="shared" si="62"/>
        <v>#REF!</v>
      </c>
      <c r="H149" s="138" t="e">
        <f t="shared" si="62"/>
        <v>#REF!</v>
      </c>
    </row>
    <row r="150" spans="2:8" x14ac:dyDescent="0.15">
      <c r="B150" s="1" t="s">
        <v>299</v>
      </c>
      <c r="C150" s="1" t="s">
        <v>102</v>
      </c>
      <c r="D150" s="138" t="e">
        <f>SUM(D85:D88)/4</f>
        <v>#REF!</v>
      </c>
      <c r="E150" s="138" t="e">
        <f t="shared" ref="E150:H150" si="63">SUM(E85:E88)/4</f>
        <v>#REF!</v>
      </c>
      <c r="F150" s="138" t="e">
        <f t="shared" si="63"/>
        <v>#REF!</v>
      </c>
      <c r="G150" s="138" t="e">
        <f t="shared" si="63"/>
        <v>#REF!</v>
      </c>
      <c r="H150" s="138" t="e">
        <f t="shared" si="63"/>
        <v>#REF!</v>
      </c>
    </row>
    <row r="153" spans="2:8" x14ac:dyDescent="0.15">
      <c r="B153" s="145" t="s">
        <v>309</v>
      </c>
    </row>
    <row r="154" spans="2:8" x14ac:dyDescent="0.15">
      <c r="B154" s="135" t="s">
        <v>292</v>
      </c>
      <c r="C154" s="135" t="s">
        <v>293</v>
      </c>
      <c r="D154" s="135" t="s">
        <v>294</v>
      </c>
      <c r="E154" s="135" t="s">
        <v>192</v>
      </c>
    </row>
    <row r="155" spans="2:8" x14ac:dyDescent="0.15">
      <c r="B155" s="1" t="s">
        <v>295</v>
      </c>
      <c r="C155" s="1" t="s">
        <v>89</v>
      </c>
      <c r="D155" s="138">
        <f t="shared" ref="D155:D174" si="64">IFERROR($D$123/D131,0)</f>
        <v>0</v>
      </c>
      <c r="E155" s="138">
        <f>IFERROR($E$123/E131,0)</f>
        <v>0</v>
      </c>
    </row>
    <row r="156" spans="2:8" x14ac:dyDescent="0.15">
      <c r="B156" s="1" t="s">
        <v>295</v>
      </c>
      <c r="C156" s="1" t="s">
        <v>93</v>
      </c>
      <c r="D156" s="138">
        <f t="shared" si="64"/>
        <v>0</v>
      </c>
      <c r="E156" s="138">
        <f t="shared" ref="E156:E174" si="65">IFERROR($E$123/E132,0)</f>
        <v>0</v>
      </c>
    </row>
    <row r="157" spans="2:8" x14ac:dyDescent="0.15">
      <c r="B157" s="1" t="s">
        <v>295</v>
      </c>
      <c r="C157" s="1" t="s">
        <v>97</v>
      </c>
      <c r="D157" s="138">
        <f t="shared" si="64"/>
        <v>0</v>
      </c>
      <c r="E157" s="138">
        <f t="shared" si="65"/>
        <v>0</v>
      </c>
    </row>
    <row r="158" spans="2:8" x14ac:dyDescent="0.15">
      <c r="B158" s="1" t="s">
        <v>295</v>
      </c>
      <c r="C158" s="1" t="s">
        <v>102</v>
      </c>
      <c r="D158" s="138">
        <f t="shared" si="64"/>
        <v>0</v>
      </c>
      <c r="E158" s="138">
        <f t="shared" si="65"/>
        <v>0</v>
      </c>
    </row>
    <row r="159" spans="2:8" x14ac:dyDescent="0.15">
      <c r="B159" s="1" t="s">
        <v>296</v>
      </c>
      <c r="C159" s="1" t="s">
        <v>89</v>
      </c>
      <c r="D159" s="138">
        <f t="shared" si="64"/>
        <v>0</v>
      </c>
      <c r="E159" s="138">
        <f t="shared" si="65"/>
        <v>0</v>
      </c>
    </row>
    <row r="160" spans="2:8" x14ac:dyDescent="0.15">
      <c r="B160" s="1" t="s">
        <v>296</v>
      </c>
      <c r="C160" s="1" t="s">
        <v>93</v>
      </c>
      <c r="D160" s="138">
        <f t="shared" si="64"/>
        <v>0</v>
      </c>
      <c r="E160" s="138">
        <f t="shared" si="65"/>
        <v>0</v>
      </c>
    </row>
    <row r="161" spans="2:5" x14ac:dyDescent="0.15">
      <c r="B161" s="1" t="s">
        <v>296</v>
      </c>
      <c r="C161" s="1" t="s">
        <v>97</v>
      </c>
      <c r="D161" s="138">
        <f t="shared" si="64"/>
        <v>0</v>
      </c>
      <c r="E161" s="138">
        <f t="shared" si="65"/>
        <v>0</v>
      </c>
    </row>
    <row r="162" spans="2:5" x14ac:dyDescent="0.15">
      <c r="B162" s="1" t="s">
        <v>296</v>
      </c>
      <c r="C162" s="1" t="s">
        <v>102</v>
      </c>
      <c r="D162" s="138">
        <f t="shared" si="64"/>
        <v>0</v>
      </c>
      <c r="E162" s="138">
        <f t="shared" si="65"/>
        <v>0</v>
      </c>
    </row>
    <row r="163" spans="2:5" x14ac:dyDescent="0.15">
      <c r="B163" s="1" t="s">
        <v>297</v>
      </c>
      <c r="C163" s="1" t="s">
        <v>89</v>
      </c>
      <c r="D163" s="138">
        <f t="shared" si="64"/>
        <v>0</v>
      </c>
      <c r="E163" s="138">
        <f t="shared" si="65"/>
        <v>0</v>
      </c>
    </row>
    <row r="164" spans="2:5" x14ac:dyDescent="0.15">
      <c r="B164" s="1" t="s">
        <v>297</v>
      </c>
      <c r="C164" s="1" t="s">
        <v>93</v>
      </c>
      <c r="D164" s="138">
        <f t="shared" si="64"/>
        <v>0</v>
      </c>
      <c r="E164" s="138">
        <f t="shared" si="65"/>
        <v>0</v>
      </c>
    </row>
    <row r="165" spans="2:5" x14ac:dyDescent="0.15">
      <c r="B165" s="1" t="s">
        <v>297</v>
      </c>
      <c r="C165" s="1" t="s">
        <v>97</v>
      </c>
      <c r="D165" s="138">
        <f t="shared" si="64"/>
        <v>0</v>
      </c>
      <c r="E165" s="138">
        <f t="shared" si="65"/>
        <v>0</v>
      </c>
    </row>
    <row r="166" spans="2:5" x14ac:dyDescent="0.15">
      <c r="B166" s="1" t="s">
        <v>297</v>
      </c>
      <c r="C166" s="1" t="s">
        <v>102</v>
      </c>
      <c r="D166" s="138">
        <f t="shared" si="64"/>
        <v>0</v>
      </c>
      <c r="E166" s="138">
        <f t="shared" si="65"/>
        <v>0</v>
      </c>
    </row>
    <row r="167" spans="2:5" x14ac:dyDescent="0.15">
      <c r="B167" s="1" t="s">
        <v>298</v>
      </c>
      <c r="C167" s="1" t="s">
        <v>89</v>
      </c>
      <c r="D167" s="138">
        <f t="shared" si="64"/>
        <v>0</v>
      </c>
      <c r="E167" s="138">
        <f t="shared" si="65"/>
        <v>0</v>
      </c>
    </row>
    <row r="168" spans="2:5" x14ac:dyDescent="0.15">
      <c r="B168" s="1" t="s">
        <v>298</v>
      </c>
      <c r="C168" s="1" t="s">
        <v>93</v>
      </c>
      <c r="D168" s="138">
        <f t="shared" si="64"/>
        <v>0</v>
      </c>
      <c r="E168" s="138">
        <f t="shared" si="65"/>
        <v>0</v>
      </c>
    </row>
    <row r="169" spans="2:5" x14ac:dyDescent="0.15">
      <c r="B169" s="1" t="s">
        <v>298</v>
      </c>
      <c r="C169" s="1" t="s">
        <v>97</v>
      </c>
      <c r="D169" s="138">
        <f t="shared" si="64"/>
        <v>0</v>
      </c>
      <c r="E169" s="138">
        <f t="shared" si="65"/>
        <v>0</v>
      </c>
    </row>
    <row r="170" spans="2:5" x14ac:dyDescent="0.15">
      <c r="B170" s="1" t="s">
        <v>298</v>
      </c>
      <c r="C170" s="1" t="s">
        <v>102</v>
      </c>
      <c r="D170" s="138">
        <f t="shared" si="64"/>
        <v>0</v>
      </c>
      <c r="E170" s="138">
        <f t="shared" si="65"/>
        <v>0</v>
      </c>
    </row>
    <row r="171" spans="2:5" x14ac:dyDescent="0.15">
      <c r="B171" s="1" t="s">
        <v>299</v>
      </c>
      <c r="C171" s="1" t="s">
        <v>89</v>
      </c>
      <c r="D171" s="138">
        <f t="shared" si="64"/>
        <v>0</v>
      </c>
      <c r="E171" s="138">
        <f t="shared" si="65"/>
        <v>0</v>
      </c>
    </row>
    <row r="172" spans="2:5" x14ac:dyDescent="0.15">
      <c r="B172" s="1" t="s">
        <v>299</v>
      </c>
      <c r="C172" s="1" t="s">
        <v>93</v>
      </c>
      <c r="D172" s="138">
        <f t="shared" si="64"/>
        <v>0</v>
      </c>
      <c r="E172" s="138">
        <f t="shared" si="65"/>
        <v>0</v>
      </c>
    </row>
    <row r="173" spans="2:5" x14ac:dyDescent="0.15">
      <c r="B173" s="1" t="s">
        <v>299</v>
      </c>
      <c r="C173" s="1" t="s">
        <v>97</v>
      </c>
      <c r="D173" s="138">
        <f t="shared" si="64"/>
        <v>0</v>
      </c>
      <c r="E173" s="138">
        <f t="shared" si="65"/>
        <v>0</v>
      </c>
    </row>
    <row r="174" spans="2:5" x14ac:dyDescent="0.15">
      <c r="B174" s="1" t="s">
        <v>299</v>
      </c>
      <c r="C174" s="1" t="s">
        <v>102</v>
      </c>
      <c r="D174" s="138">
        <f t="shared" si="64"/>
        <v>0</v>
      </c>
      <c r="E174" s="138">
        <f t="shared" si="65"/>
        <v>0</v>
      </c>
    </row>
  </sheetData>
  <sheetProtection algorithmName="SHA-512" hashValue="ou8fS0NipSSiccnjnwYxe1WgSURGb7P5vZ6Yx+cnvmGz91T3wDUHu7IwyE4xQ5hHFi5fWw5syRcfcO1AqdcBog==" saltValue="t4APnmPWqzRIfSDncUrxag==" spinCount="100000" sheet="1" objects="1" scenarios="1"/>
  <phoneticPr fontId="28" type="noConversion"/>
  <conditionalFormatting sqref="D64:H64 J64">
    <cfRule type="cellIs" dxfId="86" priority="2" operator="lessThan">
      <formula>0</formula>
    </cfRule>
  </conditionalFormatting>
  <conditionalFormatting sqref="D123:H123">
    <cfRule type="cellIs" dxfId="85" priority="4" operator="lessThan">
      <formula>0</formula>
    </cfRule>
  </conditionalFormatting>
  <conditionalFormatting sqref="I97:I120">
    <cfRule type="expression" dxfId="84" priority="1" stopIfTrue="1">
      <formula>$I97&gt;Partner_ICR_Rate</formula>
    </cfRule>
  </conditionalFormatting>
  <pageMargins left="0.7" right="0.7" top="0.75" bottom="0.75" header="0.3" footer="0.3"/>
  <pageSetup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8FC10-25F3-4B97-93EF-9B6A5C0969DC}">
  <sheetPr codeName="Sheet5">
    <pageSetUpPr fitToPage="1"/>
  </sheetPr>
  <dimension ref="B3:AA75"/>
  <sheetViews>
    <sheetView workbookViewId="0">
      <selection activeCell="O15" sqref="O15"/>
    </sheetView>
  </sheetViews>
  <sheetFormatPr baseColWidth="10" defaultColWidth="8.83203125" defaultRowHeight="14" x14ac:dyDescent="0.15"/>
  <cols>
    <col min="1" max="1" width="3.33203125" customWidth="1"/>
    <col min="2" max="2" width="16.6640625" customWidth="1"/>
    <col min="3" max="3" width="18.5" customWidth="1"/>
    <col min="4" max="4" width="14" customWidth="1"/>
    <col min="5" max="5" width="12" customWidth="1"/>
    <col min="6" max="6" width="14.1640625" customWidth="1"/>
    <col min="7" max="7" width="14" customWidth="1"/>
    <col min="8" max="8" width="23.6640625" customWidth="1"/>
    <col min="9" max="9" width="14.5" customWidth="1"/>
    <col min="10" max="10" width="15.5" customWidth="1"/>
    <col min="11" max="11" width="12.5" customWidth="1"/>
    <col min="12" max="12" width="13.1640625" customWidth="1"/>
    <col min="17" max="17" width="58.5" bestFit="1" customWidth="1"/>
    <col min="18" max="20" width="3.83203125" customWidth="1"/>
    <col min="21" max="21" width="11.33203125" bestFit="1" customWidth="1"/>
    <col min="22" max="22" width="8" bestFit="1" customWidth="1"/>
    <col min="23" max="23" width="16.33203125" bestFit="1" customWidth="1"/>
    <col min="24" max="24" width="14.5" customWidth="1"/>
    <col min="25" max="26" width="13.5" bestFit="1" customWidth="1"/>
  </cols>
  <sheetData>
    <row r="3" spans="2:13" x14ac:dyDescent="0.15">
      <c r="H3" s="130" t="str">
        <f>'YY-YY Q#'!E8</f>
        <v>FILL IN</v>
      </c>
      <c r="L3" s="4"/>
    </row>
    <row r="4" spans="2:13" x14ac:dyDescent="0.15">
      <c r="L4" s="2"/>
    </row>
    <row r="5" spans="2:13" x14ac:dyDescent="0.15">
      <c r="M5" t="s">
        <v>310</v>
      </c>
    </row>
    <row r="8" spans="2:13" ht="16" x14ac:dyDescent="0.2">
      <c r="C8" s="46"/>
    </row>
    <row r="9" spans="2:13" x14ac:dyDescent="0.15">
      <c r="B9" s="6" t="s">
        <v>311</v>
      </c>
      <c r="C9" s="7"/>
      <c r="D9" s="7"/>
      <c r="E9" s="7"/>
      <c r="F9" s="8"/>
      <c r="G9" s="8"/>
      <c r="H9" s="9"/>
      <c r="I9" s="58"/>
      <c r="J9" s="7"/>
      <c r="K9" s="59"/>
    </row>
    <row r="10" spans="2:13" ht="16" x14ac:dyDescent="0.2">
      <c r="B10" t="s">
        <v>312</v>
      </c>
      <c r="C10" s="46"/>
      <c r="G10" s="133">
        <f>'Summary - Graphs'!D122</f>
        <v>0</v>
      </c>
    </row>
    <row r="11" spans="2:13" ht="16" x14ac:dyDescent="0.2">
      <c r="B11" t="s">
        <v>313</v>
      </c>
      <c r="C11" s="46"/>
      <c r="G11" s="5">
        <f>I49</f>
        <v>0</v>
      </c>
    </row>
    <row r="12" spans="2:13" ht="17" thickBot="1" x14ac:dyDescent="0.25">
      <c r="B12" t="s">
        <v>314</v>
      </c>
      <c r="C12" s="46"/>
      <c r="G12" s="69">
        <f>G10-G11</f>
        <v>0</v>
      </c>
    </row>
    <row r="13" spans="2:13" ht="16" x14ac:dyDescent="0.2">
      <c r="C13" s="46"/>
    </row>
    <row r="14" spans="2:13" x14ac:dyDescent="0.15">
      <c r="B14" s="6" t="s">
        <v>315</v>
      </c>
      <c r="C14" s="7"/>
      <c r="D14" s="7"/>
      <c r="E14" s="7"/>
      <c r="F14" s="8"/>
      <c r="G14" s="8"/>
      <c r="H14" s="9"/>
      <c r="I14" s="58"/>
      <c r="J14" s="7"/>
      <c r="K14" s="59"/>
    </row>
    <row r="15" spans="2:13" ht="16" x14ac:dyDescent="0.2">
      <c r="B15" t="s">
        <v>316</v>
      </c>
      <c r="C15" s="46"/>
      <c r="G15" s="133">
        <f>'Summary - Graphs'!E122</f>
        <v>0</v>
      </c>
    </row>
    <row r="16" spans="2:13" ht="16" x14ac:dyDescent="0.2">
      <c r="B16" t="s">
        <v>317</v>
      </c>
      <c r="C16" s="46"/>
      <c r="G16" s="5">
        <f>I57</f>
        <v>0</v>
      </c>
    </row>
    <row r="17" spans="2:26" ht="17" thickBot="1" x14ac:dyDescent="0.25">
      <c r="B17" t="s">
        <v>318</v>
      </c>
      <c r="C17" s="46"/>
      <c r="G17" s="69">
        <f>G15-G16</f>
        <v>0</v>
      </c>
    </row>
    <row r="18" spans="2:26" ht="16" x14ac:dyDescent="0.2">
      <c r="C18" s="46"/>
    </row>
    <row r="19" spans="2:26" x14ac:dyDescent="0.15">
      <c r="B19" s="6" t="s">
        <v>319</v>
      </c>
      <c r="C19" s="7"/>
      <c r="D19" s="7"/>
      <c r="E19" s="7"/>
      <c r="F19" s="8"/>
      <c r="G19" s="8"/>
      <c r="H19" s="9"/>
      <c r="I19" s="58"/>
      <c r="J19" s="7"/>
      <c r="K19" s="59"/>
    </row>
    <row r="20" spans="2:26" ht="16" x14ac:dyDescent="0.2">
      <c r="B20" t="s">
        <v>320</v>
      </c>
      <c r="C20" s="46"/>
      <c r="G20" s="133">
        <f>G10+G15</f>
        <v>0</v>
      </c>
    </row>
    <row r="21" spans="2:26" ht="16" x14ac:dyDescent="0.2">
      <c r="B21" t="s">
        <v>321</v>
      </c>
      <c r="C21" s="46"/>
      <c r="G21" s="5">
        <f>I58</f>
        <v>0</v>
      </c>
    </row>
    <row r="22" spans="2:26" ht="17" thickBot="1" x14ac:dyDescent="0.25">
      <c r="B22" t="s">
        <v>322</v>
      </c>
      <c r="C22" s="46"/>
      <c r="G22" s="69">
        <f>G20-G21</f>
        <v>0</v>
      </c>
    </row>
    <row r="23" spans="2:26" ht="16" x14ac:dyDescent="0.2">
      <c r="C23" s="46"/>
      <c r="G23" s="106"/>
    </row>
    <row r="24" spans="2:26" ht="16" x14ac:dyDescent="0.2">
      <c r="C24" s="46"/>
      <c r="G24" s="106"/>
    </row>
    <row r="25" spans="2:26" ht="16" x14ac:dyDescent="0.2">
      <c r="D25" s="46"/>
    </row>
    <row r="26" spans="2:26" x14ac:dyDescent="0.15">
      <c r="B26" t="s">
        <v>323</v>
      </c>
      <c r="F26" s="53" t="s">
        <v>200</v>
      </c>
      <c r="G26" s="54"/>
      <c r="H26" s="54"/>
      <c r="I26" s="55"/>
      <c r="J26" s="52" t="s">
        <v>201</v>
      </c>
      <c r="K26" s="60"/>
      <c r="Q26" t="s">
        <v>323</v>
      </c>
      <c r="U26" s="53" t="s">
        <v>200</v>
      </c>
      <c r="V26" s="54"/>
      <c r="W26" s="54"/>
      <c r="X26" s="55"/>
      <c r="Y26" s="52" t="s">
        <v>201</v>
      </c>
      <c r="Z26" s="60"/>
    </row>
    <row r="27" spans="2:26" x14ac:dyDescent="0.15">
      <c r="B27" s="6" t="s">
        <v>324</v>
      </c>
      <c r="C27" s="7"/>
      <c r="D27" s="7"/>
      <c r="E27" s="7"/>
      <c r="F27" s="8"/>
      <c r="G27" s="8"/>
      <c r="H27" s="9"/>
      <c r="I27" s="58"/>
      <c r="J27" s="7"/>
      <c r="K27" s="59"/>
      <c r="Q27" s="6" t="s">
        <v>202</v>
      </c>
      <c r="R27" s="7"/>
      <c r="S27" s="7"/>
      <c r="T27" s="7"/>
      <c r="U27" s="8"/>
      <c r="V27" s="8"/>
      <c r="W27" s="9"/>
      <c r="X27" s="58"/>
      <c r="Y27" s="7"/>
      <c r="Z27" s="59"/>
    </row>
    <row r="28" spans="2:26" x14ac:dyDescent="0.15">
      <c r="B28" s="12"/>
      <c r="C28" s="43"/>
      <c r="D28" s="43"/>
      <c r="E28" s="56"/>
      <c r="F28" s="57" t="s">
        <v>203</v>
      </c>
      <c r="G28" s="57" t="s">
        <v>204</v>
      </c>
      <c r="H28" s="57" t="s">
        <v>325</v>
      </c>
      <c r="I28" s="124"/>
      <c r="J28" s="61" t="s">
        <v>207</v>
      </c>
      <c r="K28" s="61" t="s">
        <v>208</v>
      </c>
      <c r="Q28" s="12"/>
      <c r="R28" s="43"/>
      <c r="S28" s="43"/>
      <c r="T28" s="56"/>
      <c r="U28" s="57" t="s">
        <v>203</v>
      </c>
      <c r="V28" s="57" t="s">
        <v>204</v>
      </c>
      <c r="W28" s="57" t="s">
        <v>325</v>
      </c>
      <c r="X28" s="124"/>
      <c r="Y28" s="61" t="s">
        <v>207</v>
      </c>
      <c r="Z28" s="61" t="s">
        <v>208</v>
      </c>
    </row>
    <row r="29" spans="2:26" x14ac:dyDescent="0.15">
      <c r="B29" s="32" t="s">
        <v>209</v>
      </c>
      <c r="C29" s="30"/>
      <c r="D29" s="30"/>
      <c r="E29" s="47"/>
      <c r="F29" s="13" t="s">
        <v>210</v>
      </c>
      <c r="G29" s="14"/>
      <c r="H29" s="15"/>
      <c r="I29" s="123"/>
      <c r="J29" s="108" t="s">
        <v>206</v>
      </c>
      <c r="K29" s="108" t="s">
        <v>206</v>
      </c>
      <c r="Q29" s="32" t="s">
        <v>209</v>
      </c>
      <c r="R29" s="30"/>
      <c r="S29" s="30"/>
      <c r="T29" s="47"/>
      <c r="U29" s="13" t="s">
        <v>210</v>
      </c>
      <c r="V29" s="14"/>
      <c r="W29" s="15"/>
      <c r="X29" s="123"/>
      <c r="Y29" s="108" t="s">
        <v>206</v>
      </c>
      <c r="Z29" s="108" t="s">
        <v>206</v>
      </c>
    </row>
    <row r="30" spans="2:26" x14ac:dyDescent="0.15">
      <c r="B30" s="29" t="s">
        <v>212</v>
      </c>
      <c r="C30" s="30"/>
      <c r="D30" s="30"/>
      <c r="E30" s="47"/>
      <c r="F30" s="48">
        <f>'YY-YY Q#'!F116</f>
        <v>0</v>
      </c>
      <c r="G30" s="48">
        <f>'YY-YY Q#'!G116</f>
        <v>0</v>
      </c>
      <c r="H30" s="48">
        <f>SUM(F30:G30)</f>
        <v>0</v>
      </c>
      <c r="I30" s="117"/>
      <c r="J30" s="117"/>
      <c r="K30" s="117"/>
      <c r="Q30" s="29" t="s">
        <v>212</v>
      </c>
      <c r="R30" s="30"/>
      <c r="S30" s="30"/>
      <c r="T30" s="47"/>
      <c r="U30" s="48" t="e">
        <f>'YY-YY Q#'!U116
 +#REF!
 +#REF!
 +#REF!
 +#REF!
 +#REF!
 +#REF!
 +#REF!
 +#REF!
 +#REF!
 +#REF!
 +#REF!
 +#REF!
 +#REF!
 +#REF!
 +#REF!
 +#REF!
 +#REF!
 +#REF!
 +#REF!
 +#REF!
 +#REF!
 +#REF!
 +#REF!</f>
        <v>#REF!</v>
      </c>
      <c r="V30" s="48" t="e">
        <f>'YY-YY Q#'!V116
 +#REF!
 +#REF!
 +#REF!
 +#REF!
 +#REF!
 +#REF!
 +#REF!
 +#REF!
 +#REF!
 +#REF!
 +#REF!
 +#REF!
 +#REF!
 +#REF!
 +#REF!
 +#REF!
 +#REF!
 +#REF!
 +#REF!
 +#REF!
 +#REF!
 +#REF!
 +#REF!</f>
        <v>#REF!</v>
      </c>
      <c r="W30" s="48" t="e">
        <f>SUM(U30:V30)</f>
        <v>#REF!</v>
      </c>
      <c r="X30" s="117"/>
      <c r="Y30" s="117"/>
      <c r="Z30" s="117"/>
    </row>
    <row r="31" spans="2:26" x14ac:dyDescent="0.15">
      <c r="B31" s="16" t="s">
        <v>213</v>
      </c>
      <c r="C31" s="17"/>
      <c r="D31" s="17"/>
      <c r="E31" s="18"/>
      <c r="F31" s="48">
        <f>'YY-YY Q#'!F117</f>
        <v>0</v>
      </c>
      <c r="G31" s="48">
        <f>'YY-YY Q#'!G117</f>
        <v>0</v>
      </c>
      <c r="H31" s="48">
        <f>SUM(F31:G31)</f>
        <v>0</v>
      </c>
      <c r="I31" s="117"/>
      <c r="J31" s="117"/>
      <c r="K31" s="117"/>
      <c r="Q31" s="16" t="s">
        <v>213</v>
      </c>
      <c r="R31" s="17"/>
      <c r="S31" s="17"/>
      <c r="T31" s="18"/>
      <c r="U31" s="48" t="e">
        <f>'YY-YY Q#'!U117
 +#REF!
 +#REF!
 +#REF!
 +#REF!
 +#REF!
 +#REF!
 +#REF!
 +#REF!
 +#REF!
 +#REF!
 +#REF!
 +#REF!
 +#REF!
 +#REF!
 +#REF!
 +#REF!
 +#REF!
 +#REF!
 +#REF!
 +#REF!
 +#REF!
 +#REF!
 +#REF!</f>
        <v>#REF!</v>
      </c>
      <c r="V31" s="48" t="e">
        <f>'YY-YY Q#'!V117
 +#REF!
 +#REF!
 +#REF!
 +#REF!
 +#REF!
 +#REF!
 +#REF!
 +#REF!
 +#REF!
 +#REF!
 +#REF!
 +#REF!
 +#REF!
 +#REF!
 +#REF!
 +#REF!
 +#REF!
 +#REF!
 +#REF!
 +#REF!
 +#REF!
 +#REF!
 +#REF!</f>
        <v>#REF!</v>
      </c>
      <c r="W31" s="48" t="e">
        <f>SUM(U31:V31)</f>
        <v>#REF!</v>
      </c>
      <c r="X31" s="117"/>
      <c r="Y31" s="117"/>
      <c r="Z31" s="117"/>
    </row>
    <row r="32" spans="2:26" x14ac:dyDescent="0.15">
      <c r="B32" s="16" t="s">
        <v>214</v>
      </c>
      <c r="C32" s="17"/>
      <c r="D32" s="17"/>
      <c r="E32" s="18"/>
      <c r="F32" s="48">
        <f>'YY-YY Q#'!F118</f>
        <v>0</v>
      </c>
      <c r="G32" s="48">
        <f>'YY-YY Q#'!G118</f>
        <v>0</v>
      </c>
      <c r="H32" s="48">
        <f>SUM(F32:G32)</f>
        <v>0</v>
      </c>
      <c r="I32" s="117"/>
      <c r="J32" s="117"/>
      <c r="K32" s="117"/>
      <c r="Q32" s="16" t="s">
        <v>214</v>
      </c>
      <c r="R32" s="17"/>
      <c r="S32" s="17"/>
      <c r="T32" s="18"/>
      <c r="U32" s="48" t="e">
        <f>'YY-YY Q#'!U118
 +#REF!
 +#REF!
 +#REF!
 +#REF!
 +#REF!
 +#REF!
 +#REF!
 +#REF!
 +#REF!
 +#REF!
 +#REF!
 +#REF!
 +#REF!
 +#REF!
 +#REF!
 +#REF!
 +#REF!
 +#REF!
 +#REF!
 +#REF!
 +#REF!
 +#REF!
 +#REF!</f>
        <v>#REF!</v>
      </c>
      <c r="V32" s="48" t="e">
        <f>'YY-YY Q#'!V118
 +#REF!
 +#REF!
 +#REF!
 +#REF!
 +#REF!
 +#REF!
 +#REF!
 +#REF!
 +#REF!
 +#REF!
 +#REF!
 +#REF!
 +#REF!
 +#REF!
 +#REF!
 +#REF!
 +#REF!
 +#REF!
 +#REF!
 +#REF!
 +#REF!
 +#REF!
 +#REF!</f>
        <v>#REF!</v>
      </c>
      <c r="W32" s="48" t="e">
        <f>SUM(U32:V32)</f>
        <v>#REF!</v>
      </c>
      <c r="X32" s="117"/>
      <c r="Y32" s="117"/>
      <c r="Z32" s="117"/>
    </row>
    <row r="33" spans="2:26" x14ac:dyDescent="0.15">
      <c r="B33" s="19" t="s">
        <v>215</v>
      </c>
      <c r="C33" s="17"/>
      <c r="D33" s="17"/>
      <c r="E33" s="20"/>
      <c r="F33" s="25"/>
      <c r="G33" s="22"/>
      <c r="H33" s="125"/>
      <c r="I33" s="117"/>
      <c r="J33" s="117"/>
      <c r="K33" s="117"/>
      <c r="Q33" s="19" t="s">
        <v>215</v>
      </c>
      <c r="R33" s="17"/>
      <c r="S33" s="17"/>
      <c r="T33" s="20"/>
      <c r="U33" s="25"/>
      <c r="V33" s="22"/>
      <c r="W33" s="125"/>
      <c r="X33" s="117"/>
      <c r="Y33" s="117"/>
      <c r="Z33" s="117"/>
    </row>
    <row r="34" spans="2:26" x14ac:dyDescent="0.15">
      <c r="B34" s="16" t="s">
        <v>216</v>
      </c>
      <c r="C34" s="17"/>
      <c r="D34" s="17"/>
      <c r="E34" s="18"/>
      <c r="F34" s="48">
        <f>'YY-YY Q#'!F120</f>
        <v>0</v>
      </c>
      <c r="G34" s="48">
        <f>'YY-YY Q#'!G120</f>
        <v>0</v>
      </c>
      <c r="H34" s="48">
        <f>SUM(F34:G34)</f>
        <v>0</v>
      </c>
      <c r="I34" s="117"/>
      <c r="J34" s="117"/>
      <c r="K34" s="117"/>
      <c r="Q34" s="16" t="s">
        <v>216</v>
      </c>
      <c r="R34" s="17"/>
      <c r="S34" s="17"/>
      <c r="T34" s="18"/>
      <c r="U34" s="48" t="e">
        <f>'YY-YY Q#'!U120
 +#REF!
 +#REF!
 +#REF!
 +#REF!
 +#REF!
 +#REF!
 +#REF!
 +#REF!
 +#REF!
 +#REF!
 +#REF!
 +#REF!
 +#REF!
 +#REF!
 +#REF!
 +#REF!
 +#REF!
 +#REF!
 +#REF!
 +#REF!
 +#REF!
 +#REF!
 +#REF!</f>
        <v>#REF!</v>
      </c>
      <c r="V34" s="48" t="e">
        <f>'YY-YY Q#'!V120
 +#REF!
 +#REF!
 +#REF!
 +#REF!
 +#REF!
 +#REF!
 +#REF!
 +#REF!
 +#REF!
 +#REF!
 +#REF!
 +#REF!
 +#REF!
 +#REF!
 +#REF!
 +#REF!
 +#REF!
 +#REF!
 +#REF!
 +#REF!
 +#REF!
 +#REF!
 +#REF!</f>
        <v>#REF!</v>
      </c>
      <c r="W34" s="48" t="e">
        <f>SUM(U34:V34)</f>
        <v>#REF!</v>
      </c>
      <c r="X34" s="117"/>
      <c r="Y34" s="117"/>
      <c r="Z34" s="117"/>
    </row>
    <row r="35" spans="2:26" x14ac:dyDescent="0.15">
      <c r="B35" s="16" t="s">
        <v>217</v>
      </c>
      <c r="C35" s="17"/>
      <c r="D35" s="17"/>
      <c r="E35" s="20"/>
      <c r="F35" s="25"/>
      <c r="G35" s="131"/>
      <c r="H35" s="48">
        <f>'YY-YY Q#'!H121</f>
        <v>0</v>
      </c>
      <c r="I35" s="117"/>
      <c r="J35" s="117"/>
      <c r="K35" s="117"/>
      <c r="Q35" s="16" t="s">
        <v>217</v>
      </c>
      <c r="R35" s="17"/>
      <c r="S35" s="17"/>
      <c r="T35" s="20"/>
      <c r="U35" s="25"/>
      <c r="V35" s="131"/>
      <c r="W35" s="48" t="e">
        <f>'YY-YY Q#'!W121
 +#REF!
 +#REF!
 +#REF!
 +#REF!
 +#REF!
 +#REF!
 +#REF!
 +#REF!
 +#REF!
 +#REF!
 +#REF!
 +#REF!
 +#REF!
 +#REF!
 +#REF!
 +#REF!
 +#REF!
 +#REF!
 +#REF!
 +#REF!
 +#REF!
 +#REF!
 +#REF!</f>
        <v>#REF!</v>
      </c>
      <c r="X35" s="117"/>
      <c r="Y35" s="117"/>
      <c r="Z35" s="117"/>
    </row>
    <row r="36" spans="2:26" x14ac:dyDescent="0.15">
      <c r="B36" s="16" t="s">
        <v>218</v>
      </c>
      <c r="C36" s="17"/>
      <c r="D36" s="17"/>
      <c r="E36" s="20"/>
      <c r="F36" s="21"/>
      <c r="G36" s="22"/>
      <c r="H36" s="48">
        <f>'YY-YY Q#'!H122</f>
        <v>0</v>
      </c>
      <c r="I36" s="117"/>
      <c r="J36" s="117"/>
      <c r="K36" s="117"/>
      <c r="Q36" s="16" t="s">
        <v>218</v>
      </c>
      <c r="R36" s="17"/>
      <c r="S36" s="17"/>
      <c r="T36" s="20"/>
      <c r="U36" s="21"/>
      <c r="V36" s="22"/>
      <c r="W36" s="48" t="e">
        <f>'YY-YY Q#'!W122
 +#REF!
 +#REF!
 +#REF!
 +#REF!
 +#REF!
 +#REF!
 +#REF!
 +#REF!
 +#REF!
 +#REF!
 +#REF!
 +#REF!
 +#REF!
 +#REF!
 +#REF!
 +#REF!
 +#REF!
 +#REF!
 +#REF!
 +#REF!
 +#REF!
 +#REF!
 +#REF!</f>
        <v>#REF!</v>
      </c>
      <c r="X36" s="117"/>
      <c r="Y36" s="117"/>
      <c r="Z36" s="117"/>
    </row>
    <row r="37" spans="2:26" x14ac:dyDescent="0.15">
      <c r="B37" s="16" t="s">
        <v>219</v>
      </c>
      <c r="C37" s="17"/>
      <c r="D37" s="17"/>
      <c r="E37" s="20"/>
      <c r="F37" s="21"/>
      <c r="G37" s="22"/>
      <c r="H37" s="48">
        <f>'YY-YY Q#'!H123</f>
        <v>0</v>
      </c>
      <c r="I37" s="117"/>
      <c r="J37" s="117"/>
      <c r="K37" s="117"/>
      <c r="Q37" s="16" t="s">
        <v>219</v>
      </c>
      <c r="R37" s="17"/>
      <c r="S37" s="17"/>
      <c r="T37" s="20"/>
      <c r="U37" s="21"/>
      <c r="V37" s="22"/>
      <c r="W37" s="48" t="e">
        <f>'YY-YY Q#'!W123
 +#REF!
 +#REF!
 +#REF!
 +#REF!
 +#REF!
 +#REF!
 +#REF!
 +#REF!
 +#REF!
 +#REF!
 +#REF!
 +#REF!
 +#REF!
 +#REF!
 +#REF!
 +#REF!
 +#REF!
 +#REF!
 +#REF!
 +#REF!
 +#REF!
 +#REF!
 +#REF!</f>
        <v>#REF!</v>
      </c>
      <c r="X37" s="117"/>
      <c r="Y37" s="117"/>
      <c r="Z37" s="117"/>
    </row>
    <row r="38" spans="2:26" x14ac:dyDescent="0.15">
      <c r="B38" s="16" t="s">
        <v>220</v>
      </c>
      <c r="C38" s="17"/>
      <c r="D38" s="17"/>
      <c r="E38" s="20"/>
      <c r="F38" s="21"/>
      <c r="G38" s="22"/>
      <c r="H38" s="48">
        <f>'YY-YY Q#'!H124</f>
        <v>0</v>
      </c>
      <c r="I38" s="117"/>
      <c r="J38" s="117"/>
      <c r="K38" s="117"/>
      <c r="Q38" s="16" t="s">
        <v>220</v>
      </c>
      <c r="R38" s="17"/>
      <c r="S38" s="17"/>
      <c r="T38" s="20"/>
      <c r="U38" s="21"/>
      <c r="V38" s="22"/>
      <c r="W38" s="48" t="e">
        <f>'YY-YY Q#'!W124
 +#REF!
 +#REF!
 +#REF!
 +#REF!
 +#REF!
 +#REF!
 +#REF!
 +#REF!
 +#REF!
 +#REF!
 +#REF!
 +#REF!
 +#REF!
 +#REF!
 +#REF!
 +#REF!
 +#REF!
 +#REF!
 +#REF!
 +#REF!
 +#REF!
 +#REF!
 +#REF!</f>
        <v>#REF!</v>
      </c>
      <c r="X38" s="117"/>
      <c r="Y38" s="117"/>
      <c r="Z38" s="117"/>
    </row>
    <row r="39" spans="2:26" x14ac:dyDescent="0.15">
      <c r="B39" s="19" t="s">
        <v>221</v>
      </c>
      <c r="C39" s="17"/>
      <c r="D39" s="17"/>
      <c r="E39" s="20"/>
      <c r="F39" s="21"/>
      <c r="G39" s="22"/>
      <c r="H39" s="23"/>
      <c r="I39" s="117"/>
      <c r="J39" s="117"/>
      <c r="K39" s="117"/>
      <c r="Q39" s="19" t="s">
        <v>221</v>
      </c>
      <c r="R39" s="17"/>
      <c r="S39" s="17"/>
      <c r="T39" s="20"/>
      <c r="U39" s="21"/>
      <c r="V39" s="22"/>
      <c r="W39" s="23"/>
      <c r="X39" s="117"/>
      <c r="Y39" s="117"/>
      <c r="Z39" s="117"/>
    </row>
    <row r="40" spans="2:26" x14ac:dyDescent="0.15">
      <c r="B40" s="16" t="s">
        <v>222</v>
      </c>
      <c r="C40" s="17"/>
      <c r="D40" s="17"/>
      <c r="E40" s="20"/>
      <c r="F40" s="21"/>
      <c r="G40" s="22"/>
      <c r="H40" s="48">
        <f>'YY-YY Q#'!H126</f>
        <v>0</v>
      </c>
      <c r="I40" s="117"/>
      <c r="J40" s="117"/>
      <c r="K40" s="117"/>
      <c r="Q40" s="16" t="s">
        <v>222</v>
      </c>
      <c r="R40" s="17"/>
      <c r="S40" s="17"/>
      <c r="T40" s="20"/>
      <c r="U40" s="21"/>
      <c r="V40" s="22"/>
      <c r="W40" s="48" t="e">
        <f>'YY-YY Q#'!W126
 +#REF!
 +#REF!
 +#REF!
 +#REF!
 +#REF!
 +#REF!
 +#REF!
 +#REF!
 +#REF!
 +#REF!
 +#REF!
 +#REF!
 +#REF!
 +#REF!
 +#REF!
 +#REF!
 +#REF!
 +#REF!
 +#REF!
 +#REF!
 +#REF!
 +#REF!
 +#REF!</f>
        <v>#REF!</v>
      </c>
      <c r="X40" s="117"/>
      <c r="Y40" s="117"/>
      <c r="Z40" s="117"/>
    </row>
    <row r="41" spans="2:26" x14ac:dyDescent="0.15">
      <c r="B41" s="16" t="s">
        <v>223</v>
      </c>
      <c r="C41" s="17"/>
      <c r="D41" s="17"/>
      <c r="E41" s="20"/>
      <c r="F41" s="21"/>
      <c r="G41" s="22"/>
      <c r="H41" s="48">
        <f>'YY-YY Q#'!H127</f>
        <v>0</v>
      </c>
      <c r="I41" s="117"/>
      <c r="J41" s="117"/>
      <c r="K41" s="117"/>
      <c r="Q41" s="16" t="s">
        <v>223</v>
      </c>
      <c r="R41" s="17"/>
      <c r="S41" s="17"/>
      <c r="T41" s="20"/>
      <c r="U41" s="21"/>
      <c r="V41" s="22"/>
      <c r="W41" s="48" t="e">
        <f>'YY-YY Q#'!W127
 +#REF!
 +#REF!
 +#REF!
 +#REF!
 +#REF!
 +#REF!
 +#REF!
 +#REF!
 +#REF!
 +#REF!
 +#REF!
 +#REF!
 +#REF!
 +#REF!
 +#REF!
 +#REF!
 +#REF!
 +#REF!
 +#REF!
 +#REF!
 +#REF!
 +#REF!
 +#REF!</f>
        <v>#REF!</v>
      </c>
      <c r="X41" s="117"/>
      <c r="Y41" s="117"/>
      <c r="Z41" s="117"/>
    </row>
    <row r="42" spans="2:26" x14ac:dyDescent="0.15">
      <c r="B42" s="16" t="s">
        <v>224</v>
      </c>
      <c r="C42" s="17"/>
      <c r="D42" s="17"/>
      <c r="E42" s="20"/>
      <c r="F42" s="21"/>
      <c r="G42" s="22"/>
      <c r="H42" s="48">
        <f>'YY-YY Q#'!H128</f>
        <v>0</v>
      </c>
      <c r="I42" s="117"/>
      <c r="J42" s="117"/>
      <c r="K42" s="117"/>
      <c r="Q42" s="16" t="s">
        <v>224</v>
      </c>
      <c r="R42" s="17"/>
      <c r="S42" s="17"/>
      <c r="T42" s="20"/>
      <c r="U42" s="21"/>
      <c r="V42" s="22"/>
      <c r="W42" s="48" t="e">
        <f>'YY-YY Q#'!W128
 +#REF!
 +#REF!
 +#REF!
 +#REF!
 +#REF!
 +#REF!
 +#REF!
 +#REF!
 +#REF!
 +#REF!
 +#REF!
 +#REF!
 +#REF!
 +#REF!
 +#REF!
 +#REF!
 +#REF!
 +#REF!
 +#REF!
 +#REF!
 +#REF!
 +#REF!
 +#REF!</f>
        <v>#REF!</v>
      </c>
      <c r="X42" s="117"/>
      <c r="Y42" s="117"/>
      <c r="Z42" s="117"/>
    </row>
    <row r="43" spans="2:26" x14ac:dyDescent="0.15">
      <c r="B43" s="24" t="s">
        <v>225</v>
      </c>
      <c r="C43" s="17"/>
      <c r="D43" s="17"/>
      <c r="E43" s="21"/>
      <c r="F43" s="21"/>
      <c r="G43" s="25"/>
      <c r="H43" s="48">
        <f>'YY-YY Q#'!H129</f>
        <v>0</v>
      </c>
      <c r="I43" s="118"/>
      <c r="J43" s="117"/>
      <c r="K43" s="117"/>
      <c r="M43" s="70">
        <f>IFERROR(H43/I49,0)</f>
        <v>0</v>
      </c>
      <c r="Q43" s="24" t="s">
        <v>225</v>
      </c>
      <c r="R43" s="17"/>
      <c r="S43" s="17"/>
      <c r="T43" s="21"/>
      <c r="U43" s="21"/>
      <c r="V43" s="25"/>
      <c r="W43" s="48" t="e">
        <f>'YY-YY Q#'!W129
 +#REF!
 +#REF!
 +#REF!
 +#REF!
 +#REF!
 +#REF!
 +#REF!
 +#REF!
 +#REF!
 +#REF!
 +#REF!
 +#REF!
 +#REF!
 +#REF!
 +#REF!
 +#REF!
 +#REF!
 +#REF!
 +#REF!
 +#REF!
 +#REF!
 +#REF!
 +#REF!</f>
        <v>#REF!</v>
      </c>
      <c r="X43" s="118"/>
      <c r="Y43" s="117"/>
      <c r="Z43" s="117"/>
    </row>
    <row r="44" spans="2:26" x14ac:dyDescent="0.15">
      <c r="B44" s="19" t="s">
        <v>226</v>
      </c>
      <c r="C44" s="17"/>
      <c r="D44" s="17"/>
      <c r="E44" s="17"/>
      <c r="F44" s="21"/>
      <c r="G44" s="21"/>
      <c r="H44" s="48">
        <f>'YY-YY Q#'!H130</f>
        <v>0</v>
      </c>
      <c r="I44" s="118"/>
      <c r="J44" s="117"/>
      <c r="K44" s="117"/>
      <c r="M44" s="70">
        <f>IFERROR(H44/I49,0)</f>
        <v>0</v>
      </c>
      <c r="Q44" s="19" t="s">
        <v>226</v>
      </c>
      <c r="R44" s="17"/>
      <c r="S44" s="17"/>
      <c r="T44" s="17"/>
      <c r="U44" s="21"/>
      <c r="V44" s="21"/>
      <c r="W44" s="48" t="e">
        <f>'YY-YY Q#'!W130
 +#REF!
 +#REF!
 +#REF!
 +#REF!
 +#REF!
 +#REF!
 +#REF!
 +#REF!
 +#REF!
 +#REF!
 +#REF!
 +#REF!
 +#REF!
 +#REF!
 +#REF!
 +#REF!
 +#REF!
 +#REF!
 +#REF!
 +#REF!
 +#REF!
 +#REF!
 +#REF!</f>
        <v>#REF!</v>
      </c>
      <c r="X44" s="118"/>
      <c r="Y44" s="117"/>
      <c r="Z44" s="117"/>
    </row>
    <row r="45" spans="2:26" x14ac:dyDescent="0.15">
      <c r="B45" s="19" t="s">
        <v>227</v>
      </c>
      <c r="C45" s="17"/>
      <c r="D45" s="17"/>
      <c r="E45" s="17"/>
      <c r="F45" s="21"/>
      <c r="G45" s="21"/>
      <c r="H45" s="48">
        <f>'YY-YY Q#'!H131</f>
        <v>0</v>
      </c>
      <c r="I45" s="118"/>
      <c r="J45" s="117"/>
      <c r="K45" s="117"/>
      <c r="M45" s="70">
        <f>IFERROR(H45/I49,0)</f>
        <v>0</v>
      </c>
      <c r="Q45" s="19" t="s">
        <v>228</v>
      </c>
      <c r="R45" s="17"/>
      <c r="S45" s="17"/>
      <c r="T45" s="17"/>
      <c r="U45" s="21"/>
      <c r="V45" s="21"/>
      <c r="W45" s="48" t="e">
        <f>'YY-YY Q#'!W131
 +#REF!
 +#REF!
 +#REF!
 +#REF!
 +#REF!
 +#REF!
 +#REF!
 +#REF!
 +#REF!
 +#REF!
 +#REF!
 +#REF!
 +#REF!
 +#REF!
 +#REF!
 +#REF!
 +#REF!
 +#REF!
 +#REF!
 +#REF!
 +#REF!
 +#REF!
 +#REF!</f>
        <v>#REF!</v>
      </c>
      <c r="X45" s="118"/>
      <c r="Y45" s="117"/>
      <c r="Z45" s="117"/>
    </row>
    <row r="46" spans="2:26" x14ac:dyDescent="0.15">
      <c r="B46" s="10" t="s">
        <v>229</v>
      </c>
      <c r="C46" s="11"/>
      <c r="D46" s="11"/>
      <c r="E46" s="11"/>
      <c r="F46" s="26"/>
      <c r="G46" s="26"/>
      <c r="H46" s="48">
        <f>'YY-YY Q#'!H132</f>
        <v>0</v>
      </c>
      <c r="I46" s="118"/>
      <c r="J46" s="117"/>
      <c r="K46" s="117"/>
      <c r="M46" s="70">
        <f>IFERROR(H46/I49,0)</f>
        <v>0</v>
      </c>
      <c r="Q46" s="19" t="s">
        <v>230</v>
      </c>
      <c r="R46" s="11"/>
      <c r="S46" s="11"/>
      <c r="T46" s="11"/>
      <c r="U46" s="26"/>
      <c r="V46" s="26"/>
      <c r="W46" s="48" t="e">
        <f>'YY-YY Q#'!W132
 +#REF!
 +#REF!
 +#REF!
 +#REF!
 +#REF!
 +#REF!
 +#REF!
 +#REF!
 +#REF!
 +#REF!
 +#REF!
 +#REF!
 +#REF!
 +#REF!
 +#REF!
 +#REF!
 +#REF!
 +#REF!
 +#REF!
 +#REF!
 +#REF!
 +#REF!
 +#REF!</f>
        <v>#REF!</v>
      </c>
      <c r="X46" s="118"/>
      <c r="Y46" s="117"/>
      <c r="Z46" s="117"/>
    </row>
    <row r="47" spans="2:26" x14ac:dyDescent="0.15">
      <c r="B47" s="19" t="s">
        <v>231</v>
      </c>
      <c r="C47" s="17"/>
      <c r="D47" s="17"/>
      <c r="E47" s="17"/>
      <c r="F47" s="21"/>
      <c r="G47" s="21"/>
      <c r="H47" s="48">
        <f>'YY-YY Q#'!H133</f>
        <v>0</v>
      </c>
      <c r="I47" s="118"/>
      <c r="J47" s="117"/>
      <c r="K47" s="117"/>
      <c r="M47" s="70">
        <f>IFERROR(H47/I49,0)</f>
        <v>0</v>
      </c>
      <c r="Q47" s="19" t="s">
        <v>232</v>
      </c>
      <c r="R47" s="17"/>
      <c r="S47" s="17"/>
      <c r="T47" s="17"/>
      <c r="U47" s="21"/>
      <c r="V47" s="21"/>
      <c r="W47" s="48" t="e">
        <f>'YY-YY Q#'!W133
 +#REF!
 +#REF!
 +#REF!
 +#REF!
 +#REF!
 +#REF!
 +#REF!
 +#REF!
 +#REF!
 +#REF!
 +#REF!
 +#REF!
 +#REF!
 +#REF!
 +#REF!
 +#REF!
 +#REF!
 +#REF!
 +#REF!
 +#REF!
 +#REF!
 +#REF!
 +#REF!</f>
        <v>#REF!</v>
      </c>
      <c r="X47" s="118"/>
      <c r="Y47" s="117"/>
      <c r="Z47" s="117"/>
    </row>
    <row r="48" spans="2:26" x14ac:dyDescent="0.15">
      <c r="B48" s="19" t="s">
        <v>233</v>
      </c>
      <c r="C48" s="17"/>
      <c r="D48" s="17"/>
      <c r="E48" s="17"/>
      <c r="F48" s="21"/>
      <c r="G48" s="21"/>
      <c r="H48" s="48">
        <f>'YY-YY Q#'!H134</f>
        <v>0</v>
      </c>
      <c r="I48" s="118"/>
      <c r="J48" s="117"/>
      <c r="K48" s="117"/>
      <c r="M48" s="70">
        <f>IFERROR(H48/I49,0)</f>
        <v>0</v>
      </c>
      <c r="Q48" s="19" t="s">
        <v>234</v>
      </c>
      <c r="R48" s="17"/>
      <c r="S48" s="17"/>
      <c r="T48" s="17"/>
      <c r="U48" s="21"/>
      <c r="V48" s="21"/>
      <c r="W48" s="48" t="e">
        <f>'YY-YY Q#'!W134
 +#REF!
 +#REF!
 +#REF!
 +#REF!
 +#REF!
 +#REF!
 +#REF!
 +#REF!
 +#REF!
 +#REF!
 +#REF!
 +#REF!
 +#REF!
 +#REF!
 +#REF!
 +#REF!
 +#REF!
 +#REF!
 +#REF!
 +#REF!
 +#REF!
 +#REF!
 +#REF!</f>
        <v>#REF!</v>
      </c>
      <c r="X48" s="118"/>
      <c r="Y48" s="117"/>
      <c r="Z48" s="117"/>
    </row>
    <row r="49" spans="2:27" x14ac:dyDescent="0.15">
      <c r="B49" s="62" t="s">
        <v>235</v>
      </c>
      <c r="C49" s="11"/>
      <c r="D49" s="11"/>
      <c r="E49" s="11"/>
      <c r="F49" s="11"/>
      <c r="G49" s="11"/>
      <c r="H49" s="63" t="s">
        <v>236</v>
      </c>
      <c r="I49" s="64">
        <f>ROUND(SUM(H43:H48),2)</f>
        <v>0</v>
      </c>
      <c r="J49" s="48">
        <f>'YY-YY Q#'!J135</f>
        <v>0</v>
      </c>
      <c r="K49" s="48">
        <f>'YY-YY Q#'!K135</f>
        <v>0</v>
      </c>
      <c r="N49" s="70">
        <f>IFERROR(I49/I58,0)</f>
        <v>0</v>
      </c>
      <c r="Q49" s="10" t="s">
        <v>229</v>
      </c>
      <c r="R49" s="11"/>
      <c r="S49" s="11"/>
      <c r="T49" s="11"/>
      <c r="U49" s="11"/>
      <c r="V49" s="11"/>
      <c r="W49" s="48" t="e">
        <f>'YY-YY Q#'!W135
 +#REF!
 +#REF!
 +#REF!
 +#REF!
 +#REF!
 +#REF!
 +#REF!
 +#REF!
 +#REF!
 +#REF!
 +#REF!
 +#REF!
 +#REF!
 +#REF!
 +#REF!
 +#REF!
 +#REF!
 +#REF!
 +#REF!
 +#REF!
 +#REF!
 +#REF!
 +#REF!</f>
        <v>#REF!</v>
      </c>
      <c r="X49" s="118"/>
      <c r="Y49" s="117"/>
      <c r="Z49" s="117"/>
    </row>
    <row r="50" spans="2:27" x14ac:dyDescent="0.15">
      <c r="B50" s="62"/>
      <c r="C50" s="11"/>
      <c r="D50" s="11"/>
      <c r="E50" s="11"/>
      <c r="F50" s="11"/>
      <c r="G50" s="11"/>
      <c r="H50" s="65"/>
      <c r="I50" s="11"/>
      <c r="J50" s="11"/>
      <c r="K50" s="11"/>
      <c r="Q50" s="19" t="s">
        <v>237</v>
      </c>
      <c r="R50" s="11"/>
      <c r="S50" s="11"/>
      <c r="T50" s="11"/>
      <c r="U50" s="11"/>
      <c r="V50" s="11"/>
      <c r="W50" s="48" t="e">
        <f>'YY-YY Q#'!W136
 +#REF!
 +#REF!
 +#REF!
 +#REF!
 +#REF!
 +#REF!
 +#REF!
 +#REF!
 +#REF!
 +#REF!
 +#REF!
 +#REF!
 +#REF!
 +#REF!
 +#REF!
 +#REF!
 +#REF!
 +#REF!
 +#REF!
 +#REF!
 +#REF!
 +#REF!
 +#REF!</f>
        <v>#REF!</v>
      </c>
      <c r="X50" s="118"/>
      <c r="Y50" s="117"/>
      <c r="Z50" s="117"/>
    </row>
    <row r="51" spans="2:27" x14ac:dyDescent="0.15">
      <c r="B51" s="6" t="s">
        <v>326</v>
      </c>
      <c r="C51" s="8"/>
      <c r="D51" s="8"/>
      <c r="E51" s="8"/>
      <c r="F51" s="8"/>
      <c r="G51" s="8"/>
      <c r="H51" s="9"/>
      <c r="I51" s="58"/>
      <c r="J51" s="113"/>
      <c r="K51" s="114"/>
      <c r="Q51" s="19" t="s">
        <v>239</v>
      </c>
      <c r="R51" s="11"/>
      <c r="S51" s="11"/>
      <c r="T51" s="11"/>
      <c r="U51" s="11"/>
      <c r="V51" s="11"/>
      <c r="W51" s="48" t="e">
        <f>'YY-YY Q#'!W137
 +#REF!
 +#REF!
 +#REF!
 +#REF!
 +#REF!
 +#REF!
 +#REF!
 +#REF!
 +#REF!
 +#REF!
 +#REF!
 +#REF!
 +#REF!
 +#REF!
 +#REF!
 +#REF!
 +#REF!
 +#REF!
 +#REF!
 +#REF!
 +#REF!
 +#REF!
 +#REF!</f>
        <v>#REF!</v>
      </c>
      <c r="X51" s="118"/>
      <c r="Y51" s="117"/>
      <c r="Z51" s="117"/>
    </row>
    <row r="52" spans="2:27" x14ac:dyDescent="0.15">
      <c r="B52" s="29" t="s">
        <v>142</v>
      </c>
      <c r="C52" s="30"/>
      <c r="D52" s="30"/>
      <c r="E52" s="30"/>
      <c r="F52" s="30"/>
      <c r="G52" s="30"/>
      <c r="H52" s="48">
        <f>'YY-YY Q#'!H138</f>
        <v>0</v>
      </c>
      <c r="I52" s="118"/>
      <c r="J52" s="117"/>
      <c r="K52" s="117"/>
      <c r="M52" s="70">
        <f>IFERROR(H52/I57,0)</f>
        <v>0</v>
      </c>
      <c r="Q52" s="19" t="s">
        <v>240</v>
      </c>
      <c r="R52" s="11"/>
      <c r="S52" s="11"/>
      <c r="T52" s="11"/>
      <c r="U52" s="11"/>
      <c r="V52" s="11"/>
      <c r="W52" s="48" t="e">
        <f>'YY-YY Q#'!W138
 +#REF!
 +#REF!
 +#REF!
 +#REF!
 +#REF!
 +#REF!
 +#REF!
 +#REF!
 +#REF!
 +#REF!
 +#REF!
 +#REF!
 +#REF!
 +#REF!
 +#REF!
 +#REF!
 +#REF!
 +#REF!
 +#REF!
 +#REF!
 +#REF!
 +#REF!
 +#REF!</f>
        <v>#REF!</v>
      </c>
      <c r="X52" s="118"/>
      <c r="Y52" s="117"/>
      <c r="Z52" s="117"/>
    </row>
    <row r="53" spans="2:27" x14ac:dyDescent="0.15">
      <c r="B53" s="16" t="s">
        <v>143</v>
      </c>
      <c r="C53" s="17"/>
      <c r="D53" s="17"/>
      <c r="E53" s="17"/>
      <c r="F53" s="17"/>
      <c r="G53" s="17"/>
      <c r="H53" s="48">
        <f>'YY-YY Q#'!H139</f>
        <v>0</v>
      </c>
      <c r="I53" s="118"/>
      <c r="J53" s="117"/>
      <c r="K53" s="117"/>
      <c r="M53" s="70">
        <f>IFERROR(H53/I57,0)</f>
        <v>0</v>
      </c>
      <c r="Q53" s="19" t="s">
        <v>241</v>
      </c>
      <c r="R53" s="11"/>
      <c r="S53" s="11"/>
      <c r="T53" s="11"/>
      <c r="U53" s="11"/>
      <c r="V53" s="11"/>
      <c r="W53" s="48" t="e">
        <f>'YY-YY Q#'!W139
 +#REF!
 +#REF!
 +#REF!
 +#REF!
 +#REF!
 +#REF!
 +#REF!
 +#REF!
 +#REF!
 +#REF!
 +#REF!
 +#REF!
 +#REF!
 +#REF!
 +#REF!
 +#REF!
 +#REF!
 +#REF!
 +#REF!
 +#REF!
 +#REF!
 +#REF!
 +#REF!</f>
        <v>#REF!</v>
      </c>
      <c r="X53" s="118"/>
      <c r="Y53" s="117"/>
      <c r="Z53" s="117"/>
    </row>
    <row r="54" spans="2:27" x14ac:dyDescent="0.15">
      <c r="B54" s="16" t="s">
        <v>144</v>
      </c>
      <c r="C54" s="17"/>
      <c r="D54" s="17"/>
      <c r="E54" s="17"/>
      <c r="F54" s="17"/>
      <c r="G54" s="17"/>
      <c r="H54" s="48">
        <f>'YY-YY Q#'!H140</f>
        <v>0</v>
      </c>
      <c r="I54" s="118"/>
      <c r="J54" s="117"/>
      <c r="K54" s="117"/>
      <c r="M54" s="70">
        <f>IFERROR(H54/I57,0)</f>
        <v>0</v>
      </c>
      <c r="Q54" s="19" t="s">
        <v>242</v>
      </c>
      <c r="R54" s="11"/>
      <c r="S54" s="11"/>
      <c r="T54" s="11"/>
      <c r="U54" s="11"/>
      <c r="V54" s="11"/>
      <c r="W54" s="48" t="e">
        <f>'YY-YY Q#'!W140
 +#REF!
 +#REF!
 +#REF!
 +#REF!
 +#REF!
 +#REF!
 +#REF!
 +#REF!
 +#REF!
 +#REF!
 +#REF!
 +#REF!
 +#REF!
 +#REF!
 +#REF!
 +#REF!
 +#REF!
 +#REF!
 +#REF!
 +#REF!
 +#REF!
 +#REF!
 +#REF!</f>
        <v>#REF!</v>
      </c>
      <c r="X54" s="118"/>
      <c r="Y54" s="117"/>
      <c r="Z54" s="117"/>
    </row>
    <row r="55" spans="2:27" x14ac:dyDescent="0.15">
      <c r="B55" s="16" t="s">
        <v>145</v>
      </c>
      <c r="C55" s="17"/>
      <c r="D55" s="17"/>
      <c r="E55" s="17"/>
      <c r="F55" s="17"/>
      <c r="G55" s="17"/>
      <c r="H55" s="48">
        <f>'YY-YY Q#'!H141</f>
        <v>0</v>
      </c>
      <c r="I55" s="118"/>
      <c r="J55" s="117"/>
      <c r="K55" s="117"/>
      <c r="M55" s="70">
        <f>IFERROR(H55/I57,0)</f>
        <v>0</v>
      </c>
      <c r="Q55" s="19" t="s">
        <v>243</v>
      </c>
      <c r="R55" s="11"/>
      <c r="S55" s="11"/>
      <c r="T55" s="11"/>
      <c r="U55" s="11"/>
      <c r="V55" s="11"/>
      <c r="W55" s="48" t="e">
        <f>'YY-YY Q#'!W141
 +#REF!
 +#REF!
 +#REF!
 +#REF!
 +#REF!
 +#REF!
 +#REF!
 +#REF!
 +#REF!
 +#REF!
 +#REF!
 +#REF!
 +#REF!
 +#REF!
 +#REF!
 +#REF!
 +#REF!
 +#REF!
 +#REF!
 +#REF!
 +#REF!
 +#REF!
 +#REF!</f>
        <v>#REF!</v>
      </c>
      <c r="X55" s="118"/>
      <c r="Y55" s="117"/>
      <c r="Z55" s="117"/>
    </row>
    <row r="56" spans="2:27" x14ac:dyDescent="0.15">
      <c r="B56" s="16" t="s">
        <v>146</v>
      </c>
      <c r="C56" s="17"/>
      <c r="D56" s="17"/>
      <c r="E56" s="17"/>
      <c r="F56" s="17"/>
      <c r="G56" s="17"/>
      <c r="H56" s="48">
        <f>'YY-YY Q#'!H142</f>
        <v>0</v>
      </c>
      <c r="I56" s="119"/>
      <c r="J56" s="117"/>
      <c r="K56" s="117"/>
      <c r="M56" s="70">
        <f>IFERROR(H56/I57,0)</f>
        <v>0</v>
      </c>
      <c r="Q56" s="19" t="s">
        <v>244</v>
      </c>
      <c r="R56" s="11"/>
      <c r="S56" s="11"/>
      <c r="T56" s="11"/>
      <c r="U56" s="11"/>
      <c r="V56" s="11"/>
      <c r="W56" s="48" t="e">
        <f>'YY-YY Q#'!W142
 +#REF!
 +#REF!
 +#REF!
 +#REF!
 +#REF!
 +#REF!
 +#REF!
 +#REF!
 +#REF!
 +#REF!
 +#REF!
 +#REF!
 +#REF!
 +#REF!
 +#REF!
 +#REF!
 +#REF!
 +#REF!
 +#REF!
 +#REF!
 +#REF!
 +#REF!
 +#REF!</f>
        <v>#REF!</v>
      </c>
      <c r="X56" s="118"/>
      <c r="Y56" s="117"/>
      <c r="Z56" s="117"/>
    </row>
    <row r="57" spans="2:27" x14ac:dyDescent="0.15">
      <c r="B57" s="27" t="s">
        <v>245</v>
      </c>
      <c r="C57" s="17"/>
      <c r="D57" s="17"/>
      <c r="E57" s="17"/>
      <c r="F57" s="17"/>
      <c r="G57" s="17"/>
      <c r="H57" s="28" t="s">
        <v>246</v>
      </c>
      <c r="I57" s="120">
        <f>ROUND(SUM(H52:H56),2)</f>
        <v>0</v>
      </c>
      <c r="J57" s="122"/>
      <c r="K57" s="122"/>
      <c r="N57" s="70">
        <f>IFERROR(I57/I58,0)</f>
        <v>0</v>
      </c>
      <c r="Q57" s="19" t="s">
        <v>247</v>
      </c>
      <c r="R57" s="11"/>
      <c r="S57" s="11"/>
      <c r="T57" s="11"/>
      <c r="U57" s="11"/>
      <c r="V57" s="11"/>
      <c r="W57" s="48" t="e">
        <f>'YY-YY Q#'!W143
 +#REF!
 +#REF!
 +#REF!
 +#REF!
 +#REF!
 +#REF!
 +#REF!
 +#REF!
 +#REF!
 +#REF!
 +#REF!
 +#REF!
 +#REF!
 +#REF!
 +#REF!
 +#REF!
 +#REF!
 +#REF!
 +#REF!
 +#REF!
 +#REF!
 +#REF!
 +#REF!</f>
        <v>#REF!</v>
      </c>
      <c r="X57" s="118"/>
      <c r="Y57" s="117"/>
      <c r="Z57" s="117"/>
    </row>
    <row r="58" spans="2:27" x14ac:dyDescent="0.15">
      <c r="B58" s="27" t="s">
        <v>248</v>
      </c>
      <c r="C58" s="17"/>
      <c r="D58" s="17"/>
      <c r="E58" s="17"/>
      <c r="F58" s="17"/>
      <c r="G58" s="17"/>
      <c r="H58" s="28" t="s">
        <v>249</v>
      </c>
      <c r="I58" s="49">
        <f>SUM(I49,I57)</f>
        <v>0</v>
      </c>
      <c r="J58" s="121">
        <f>J49+J57</f>
        <v>0</v>
      </c>
      <c r="K58" s="121">
        <f>K49+K57</f>
        <v>0</v>
      </c>
      <c r="N58" s="70">
        <f>IFERROR(I57/I49,0)</f>
        <v>0</v>
      </c>
      <c r="Q58" s="62" t="s">
        <v>235</v>
      </c>
      <c r="R58" s="11"/>
      <c r="S58" s="11"/>
      <c r="T58" s="11"/>
      <c r="U58" s="11"/>
      <c r="V58" s="11"/>
      <c r="W58" s="63" t="s">
        <v>236</v>
      </c>
      <c r="X58" s="64" t="e">
        <f>ROUND(SUM(W43:W57),2)</f>
        <v>#REF!</v>
      </c>
      <c r="Y58" s="48" t="e">
        <f>'YY-YY Q#'!Y144
 +#REF!
 +#REF!
 +#REF!
 +#REF!
 +#REF!
 +#REF!
 +#REF!
 +#REF!
 +#REF!
 +#REF!
 +#REF!
 +#REF!
 +#REF!
 +#REF!
 +#REF!
 +#REF!
 +#REF!
 +#REF!
 +#REF!
 +#REF!
 +#REF!
 +#REF!
 +#REF!</f>
        <v>#REF!</v>
      </c>
      <c r="Z58" s="48" t="e">
        <f>'YY-YY Q#'!Z144
 +#REF!
 +#REF!
 +#REF!
 +#REF!
 +#REF!
 +#REF!
 +#REF!
 +#REF!
 +#REF!
 +#REF!
 +#REF!
 +#REF!
 +#REF!
 +#REF!
 +#REF!
 +#REF!
 +#REF!
 +#REF!
 +#REF!
 +#REF!
 +#REF!
 +#REF!
 +#REF!</f>
        <v>#REF!</v>
      </c>
    </row>
    <row r="59" spans="2:27" x14ac:dyDescent="0.15">
      <c r="B59" s="31" t="s">
        <v>250</v>
      </c>
      <c r="C59" s="32"/>
      <c r="D59" s="30"/>
      <c r="E59" s="30"/>
      <c r="F59" s="33"/>
      <c r="G59" s="33"/>
      <c r="H59" s="34" t="s">
        <v>251</v>
      </c>
      <c r="I59" s="48">
        <f>'YY-YY Q#'!I145</f>
        <v>0</v>
      </c>
      <c r="J59" s="132"/>
      <c r="K59" s="43"/>
      <c r="Q59" s="62"/>
      <c r="R59" s="11"/>
      <c r="S59" s="11"/>
      <c r="T59" s="11"/>
      <c r="U59" s="11"/>
      <c r="V59" s="11"/>
      <c r="W59" s="11"/>
      <c r="X59" s="11"/>
      <c r="Y59" s="11"/>
      <c r="Z59" s="11"/>
      <c r="AA59" s="43"/>
    </row>
    <row r="60" spans="2:27" x14ac:dyDescent="0.15">
      <c r="B60" s="27"/>
      <c r="C60" s="17"/>
      <c r="D60" s="17"/>
      <c r="E60" s="17"/>
      <c r="F60" s="51"/>
      <c r="G60" s="51"/>
      <c r="H60" s="20" t="b">
        <f>I57=ROUND(SUM(H52:H56),2)</f>
        <v>1</v>
      </c>
      <c r="I60" s="18" t="b">
        <f>I58=I49+I57</f>
        <v>1</v>
      </c>
      <c r="J60" s="1"/>
      <c r="Q60" s="6" t="s">
        <v>238</v>
      </c>
      <c r="R60" s="8"/>
      <c r="S60" s="8"/>
      <c r="T60" s="8"/>
      <c r="U60" s="8"/>
      <c r="V60" s="8"/>
      <c r="W60" s="9"/>
      <c r="X60" s="58"/>
      <c r="Y60" s="113"/>
      <c r="Z60" s="114"/>
    </row>
    <row r="61" spans="2:27" x14ac:dyDescent="0.15">
      <c r="B61" s="35" t="s">
        <v>252</v>
      </c>
      <c r="C61" s="36"/>
      <c r="D61" s="36"/>
      <c r="E61" s="36"/>
      <c r="F61" s="36"/>
      <c r="G61" s="36"/>
      <c r="H61" s="37"/>
      <c r="I61" s="38"/>
      <c r="J61" s="36"/>
      <c r="K61" s="39"/>
      <c r="Q61" s="29" t="s">
        <v>142</v>
      </c>
      <c r="R61" s="30"/>
      <c r="S61" s="30"/>
      <c r="T61" s="30"/>
      <c r="U61" s="30"/>
      <c r="V61" s="30"/>
      <c r="W61" s="48" t="e">
        <f>'YY-YY Q#'!W147
 +#REF!
 +#REF!
 +#REF!
 +#REF!
 +#REF!
 +#REF!
 +#REF!
 +#REF!
 +#REF!
 +#REF!
 +#REF!
 +#REF!
 +#REF!
 +#REF!
 +#REF!
 +#REF!
 +#REF!
 +#REF!
 +#REF!
 +#REF!
 +#REF!
 +#REF!
 +#REF!</f>
        <v>#REF!</v>
      </c>
      <c r="X61" s="118"/>
      <c r="Y61" s="117"/>
      <c r="Z61" s="117"/>
    </row>
    <row r="62" spans="2:27" x14ac:dyDescent="0.15">
      <c r="B62" s="40" t="s">
        <v>253</v>
      </c>
      <c r="C62" s="41"/>
      <c r="D62" s="41"/>
      <c r="E62" s="41"/>
      <c r="F62" s="41"/>
      <c r="G62" s="41" t="s">
        <v>254</v>
      </c>
      <c r="H62" s="41"/>
      <c r="I62" s="41"/>
      <c r="K62" s="42"/>
      <c r="Q62" s="16" t="s">
        <v>143</v>
      </c>
      <c r="R62" s="17"/>
      <c r="S62" s="17"/>
      <c r="T62" s="17"/>
      <c r="U62" s="17"/>
      <c r="V62" s="17"/>
      <c r="W62" s="48" t="e">
        <f>'YY-YY Q#'!W148
 +#REF!
 +#REF!
 +#REF!
 +#REF!
 +#REF!
 +#REF!
 +#REF!
 +#REF!
 +#REF!
 +#REF!
 +#REF!
 +#REF!
 +#REF!
 +#REF!
 +#REF!
 +#REF!
 +#REF!
 +#REF!
 +#REF!
 +#REF!
 +#REF!
 +#REF!
 +#REF!</f>
        <v>#REF!</v>
      </c>
      <c r="X62" s="118"/>
      <c r="Y62" s="117"/>
      <c r="Z62" s="117"/>
    </row>
    <row r="63" spans="2:27" x14ac:dyDescent="0.15">
      <c r="B63" s="40" t="s">
        <v>255</v>
      </c>
      <c r="C63" s="41"/>
      <c r="D63" s="41"/>
      <c r="E63" s="41"/>
      <c r="F63" s="41"/>
      <c r="G63" s="41" t="s">
        <v>256</v>
      </c>
      <c r="H63" s="41"/>
      <c r="I63" s="41"/>
      <c r="K63" s="42"/>
      <c r="Q63" s="16" t="s">
        <v>144</v>
      </c>
      <c r="R63" s="17"/>
      <c r="S63" s="17"/>
      <c r="T63" s="17"/>
      <c r="U63" s="17"/>
      <c r="V63" s="17"/>
      <c r="W63" s="48" t="e">
        <f>'YY-YY Q#'!W149
 +#REF!
 +#REF!
 +#REF!
 +#REF!
 +#REF!
 +#REF!
 +#REF!
 +#REF!
 +#REF!
 +#REF!
 +#REF!
 +#REF!
 +#REF!
 +#REF!
 +#REF!
 +#REF!
 +#REF!
 +#REF!
 +#REF!
 +#REF!
 +#REF!
 +#REF!
 +#REF!</f>
        <v>#REF!</v>
      </c>
      <c r="X63" s="118"/>
      <c r="Y63" s="117"/>
      <c r="Z63" s="117"/>
    </row>
    <row r="64" spans="2:27" x14ac:dyDescent="0.15">
      <c r="B64" s="40" t="s">
        <v>257</v>
      </c>
      <c r="C64" s="41"/>
      <c r="D64" s="41"/>
      <c r="E64" s="41"/>
      <c r="F64" s="41"/>
      <c r="G64" s="41" t="s">
        <v>258</v>
      </c>
      <c r="H64" s="41"/>
      <c r="I64" s="41"/>
      <c r="K64" s="42"/>
      <c r="Q64" s="16" t="s">
        <v>145</v>
      </c>
      <c r="R64" s="17"/>
      <c r="S64" s="17"/>
      <c r="T64" s="17"/>
      <c r="U64" s="17"/>
      <c r="V64" s="17"/>
      <c r="W64" s="48" t="e">
        <f>'YY-YY Q#'!W150
 +#REF!
 +#REF!
 +#REF!
 +#REF!
 +#REF!
 +#REF!
 +#REF!
 +#REF!
 +#REF!
 +#REF!
 +#REF!
 +#REF!
 +#REF!
 +#REF!
 +#REF!
 +#REF!
 +#REF!
 +#REF!
 +#REF!
 +#REF!
 +#REF!
 +#REF!
 +#REF!</f>
        <v>#REF!</v>
      </c>
      <c r="X64" s="118"/>
      <c r="Y64" s="117"/>
      <c r="Z64" s="117"/>
    </row>
    <row r="65" spans="2:26" x14ac:dyDescent="0.15">
      <c r="B65" s="40" t="s">
        <v>259</v>
      </c>
      <c r="C65" s="41"/>
      <c r="D65" s="41"/>
      <c r="E65" s="41"/>
      <c r="F65" s="41"/>
      <c r="G65" s="41"/>
      <c r="H65" s="41"/>
      <c r="I65" s="41"/>
      <c r="K65" s="42"/>
      <c r="Q65" s="16" t="s">
        <v>146</v>
      </c>
      <c r="R65" s="17"/>
      <c r="S65" s="17"/>
      <c r="T65" s="17"/>
      <c r="U65" s="17"/>
      <c r="V65" s="17"/>
      <c r="W65" s="48" t="e">
        <f>'YY-YY Q#'!W151
 +#REF!
 +#REF!
 +#REF!
 +#REF!
 +#REF!
 +#REF!
 +#REF!
 +#REF!
 +#REF!
 +#REF!
 +#REF!
 +#REF!
 +#REF!
 +#REF!
 +#REF!
 +#REF!
 +#REF!
 +#REF!
 +#REF!
 +#REF!
 +#REF!
 +#REF!
 +#REF!</f>
        <v>#REF!</v>
      </c>
      <c r="X65" s="119"/>
      <c r="Y65" s="117"/>
      <c r="Z65" s="117"/>
    </row>
    <row r="66" spans="2:26" x14ac:dyDescent="0.15">
      <c r="B66" s="12"/>
      <c r="C66" s="43"/>
      <c r="D66" s="43"/>
      <c r="E66" s="43"/>
      <c r="F66" s="43"/>
      <c r="G66" s="43"/>
      <c r="H66" s="43"/>
      <c r="I66" s="43"/>
      <c r="K66" s="44"/>
      <c r="Q66" s="27" t="s">
        <v>245</v>
      </c>
      <c r="R66" s="17"/>
      <c r="S66" s="17"/>
      <c r="T66" s="17"/>
      <c r="U66" s="17"/>
      <c r="V66" s="17"/>
      <c r="W66" s="28" t="s">
        <v>246</v>
      </c>
      <c r="X66" s="120" t="e">
        <f>ROUND(SUM(W61:W65),2)</f>
        <v>#REF!</v>
      </c>
      <c r="Y66" s="122"/>
      <c r="Z66" s="122"/>
    </row>
    <row r="67" spans="2:26" x14ac:dyDescent="0.15">
      <c r="B67" s="391"/>
      <c r="C67" s="392"/>
      <c r="D67" s="392"/>
      <c r="E67" s="66"/>
      <c r="F67" s="66"/>
      <c r="G67" s="393"/>
      <c r="H67" s="393"/>
      <c r="I67" s="393"/>
      <c r="K67" s="44"/>
      <c r="Q67" s="27" t="s">
        <v>248</v>
      </c>
      <c r="R67" s="11"/>
      <c r="S67" s="17"/>
      <c r="T67" s="17"/>
      <c r="U67" s="17"/>
      <c r="V67" s="17"/>
      <c r="W67" s="28" t="s">
        <v>249</v>
      </c>
      <c r="X67" s="49" t="e">
        <f>SUM(X58,X66)</f>
        <v>#REF!</v>
      </c>
      <c r="Y67" s="121" t="e">
        <f>Y58+Y66</f>
        <v>#REF!</v>
      </c>
      <c r="Z67" s="121" t="e">
        <f>Z58+Z66</f>
        <v>#REF!</v>
      </c>
    </row>
    <row r="68" spans="2:26" x14ac:dyDescent="0.15">
      <c r="B68" s="12"/>
      <c r="C68" s="68" t="s">
        <v>260</v>
      </c>
      <c r="D68" s="43"/>
      <c r="E68" s="43"/>
      <c r="F68" s="43"/>
      <c r="G68" s="43"/>
      <c r="H68" s="68" t="s">
        <v>261</v>
      </c>
      <c r="I68" s="43"/>
      <c r="K68" s="44"/>
      <c r="Q68" s="31" t="s">
        <v>250</v>
      </c>
      <c r="R68" s="17"/>
      <c r="S68" s="30"/>
      <c r="T68" s="30"/>
      <c r="U68" s="33"/>
      <c r="V68" s="33"/>
      <c r="W68" s="34" t="s">
        <v>251</v>
      </c>
      <c r="X68" s="48" t="e">
        <f>'YY-YY Q#'!X154
 +#REF!
 +#REF!
 +#REF!
 +#REF!
 +#REF!
 +#REF!
 +#REF!
 +#REF!
 +#REF!
 +#REF!
 +#REF!
 +#REF!
 +#REF!
 +#REF!
 +#REF!
 +#REF!
 +#REF!
 +#REF!
 +#REF!
 +#REF!
 +#REF!
 +#REF!
 +#REF!</f>
        <v>#REF!</v>
      </c>
      <c r="Y68" s="132"/>
      <c r="Z68" s="43"/>
    </row>
    <row r="69" spans="2:26" x14ac:dyDescent="0.15">
      <c r="B69" s="12"/>
      <c r="C69" s="43"/>
      <c r="D69" s="43"/>
      <c r="E69" s="43"/>
      <c r="F69" s="43"/>
      <c r="G69" s="43"/>
      <c r="H69" s="43"/>
      <c r="I69" s="43"/>
      <c r="K69" s="44"/>
      <c r="R69" s="43"/>
      <c r="S69" s="11"/>
      <c r="T69" s="11"/>
      <c r="U69" s="292"/>
      <c r="V69" s="292"/>
      <c r="W69" s="20" t="e">
        <f>X66=ROUND(SUM(W61:W65),2)</f>
        <v>#REF!</v>
      </c>
      <c r="X69" s="18" t="e">
        <f>X67=X58+X66</f>
        <v>#REF!</v>
      </c>
      <c r="Y69" s="1"/>
    </row>
    <row r="70" spans="2:26" x14ac:dyDescent="0.15">
      <c r="B70" s="334"/>
      <c r="C70" s="335"/>
      <c r="D70" s="335"/>
      <c r="E70" s="66"/>
      <c r="F70" s="66"/>
      <c r="G70" s="394"/>
      <c r="H70" s="394"/>
      <c r="I70" s="394"/>
      <c r="K70" s="44"/>
    </row>
    <row r="71" spans="2:26" x14ac:dyDescent="0.15">
      <c r="B71" s="12"/>
      <c r="C71" s="67" t="s">
        <v>262</v>
      </c>
      <c r="D71" s="43"/>
      <c r="E71" s="43"/>
      <c r="F71" s="43"/>
      <c r="G71" s="43"/>
      <c r="H71" s="67" t="s">
        <v>262</v>
      </c>
      <c r="I71" s="43"/>
      <c r="K71" s="44"/>
    </row>
    <row r="72" spans="2:26" x14ac:dyDescent="0.15">
      <c r="B72" s="12"/>
      <c r="C72" s="43"/>
      <c r="D72" s="43"/>
      <c r="E72" s="43"/>
      <c r="F72" s="43"/>
      <c r="G72" s="43"/>
      <c r="H72" s="43"/>
      <c r="I72" s="43"/>
      <c r="J72" s="43"/>
      <c r="K72" s="44"/>
    </row>
    <row r="73" spans="2:26" x14ac:dyDescent="0.15">
      <c r="B73" s="12" t="s">
        <v>327</v>
      </c>
      <c r="C73" s="43"/>
      <c r="D73" s="43"/>
      <c r="E73" s="43"/>
      <c r="F73" s="43"/>
      <c r="G73" s="43"/>
      <c r="H73" s="43"/>
      <c r="I73" s="43"/>
      <c r="J73" s="43"/>
      <c r="K73" s="44"/>
    </row>
    <row r="74" spans="2:26" x14ac:dyDescent="0.15">
      <c r="B74" s="3" t="s">
        <v>264</v>
      </c>
      <c r="C74" s="43"/>
      <c r="D74" s="43"/>
      <c r="E74" s="43"/>
      <c r="F74" s="43"/>
      <c r="G74" s="43"/>
      <c r="H74" s="43"/>
      <c r="I74" s="43"/>
      <c r="J74" s="43"/>
      <c r="K74" s="44"/>
    </row>
    <row r="75" spans="2:26" x14ac:dyDescent="0.15">
      <c r="B75" s="32"/>
      <c r="C75" s="30"/>
      <c r="D75" s="30"/>
      <c r="E75" s="30"/>
      <c r="F75" s="30"/>
      <c r="G75" s="30"/>
      <c r="H75" s="30"/>
      <c r="I75" s="30"/>
      <c r="J75" s="30"/>
      <c r="K75" s="45"/>
    </row>
  </sheetData>
  <sheetProtection algorithmName="SHA-512" hashValue="/D3KEEcD2NJEeJkZgtiF0snYOlsLs5yJFSDI4xkdpOeb8btbwTDIC25apelzPSyqyOw8yplCZb7Amt6CvZswWw==" saltValue="oYHNESyVtc29oItD1126pA==" spinCount="100000" sheet="1" objects="1" scenarios="1"/>
  <mergeCells count="4">
    <mergeCell ref="B67:D67"/>
    <mergeCell ref="G67:I67"/>
    <mergeCell ref="B70:D70"/>
    <mergeCell ref="G70:I70"/>
  </mergeCells>
  <conditionalFormatting sqref="G12 G22:G24">
    <cfRule type="cellIs" dxfId="83" priority="109" operator="lessThan">
      <formula>0</formula>
    </cfRule>
  </conditionalFormatting>
  <conditionalFormatting sqref="G17">
    <cfRule type="cellIs" dxfId="82" priority="108" operator="lessThan">
      <formula>0</formula>
    </cfRule>
  </conditionalFormatting>
  <conditionalFormatting sqref="H34 H39">
    <cfRule type="cellIs" dxfId="81" priority="51" stopIfTrue="1" operator="lessThan">
      <formula>0</formula>
    </cfRule>
  </conditionalFormatting>
  <conditionalFormatting sqref="F33 F30:H32 F34:G35 G43:H43 I49:I59">
    <cfRule type="cellIs" dxfId="79" priority="139" stopIfTrue="1" operator="lessThan">
      <formula>0</formula>
    </cfRule>
  </conditionalFormatting>
  <conditionalFormatting sqref="I50:K50 H60:I60">
    <cfRule type="containsText" dxfId="77" priority="135" operator="containsText" text="TRUE">
      <formula>NOT(ISERROR(SEARCH("TRUE",H50)))</formula>
    </cfRule>
    <cfRule type="containsText" dxfId="76" priority="134" operator="containsText" text="FALSE">
      <formula>NOT(ISERROR(SEARCH("FALSE",H50)))</formula>
    </cfRule>
  </conditionalFormatting>
  <conditionalFormatting sqref="J59:J60">
    <cfRule type="containsText" dxfId="75" priority="137" operator="containsText" text="OKAY">
      <formula>NOT(ISERROR(SEARCH("OKAY",J59)))</formula>
    </cfRule>
    <cfRule type="containsText" dxfId="74" priority="136" operator="containsText" text="ERROR">
      <formula>NOT(ISERROR(SEARCH("ERROR",J59)))</formula>
    </cfRule>
  </conditionalFormatting>
  <conditionalFormatting sqref="J30:K32">
    <cfRule type="cellIs" dxfId="73" priority="98" stopIfTrue="1" operator="lessThan">
      <formula>0</formula>
    </cfRule>
  </conditionalFormatting>
  <conditionalFormatting sqref="J34:K42">
    <cfRule type="cellIs" dxfId="72" priority="95" stopIfTrue="1" operator="lessThan">
      <formula>0</formula>
    </cfRule>
  </conditionalFormatting>
  <conditionalFormatting sqref="J44:K48">
    <cfRule type="cellIs" dxfId="71" priority="69" stopIfTrue="1" operator="lessThan">
      <formula>0</formula>
    </cfRule>
  </conditionalFormatting>
  <conditionalFormatting sqref="J50:K50">
    <cfRule type="cellIs" dxfId="70" priority="138" stopIfTrue="1" operator="lessThan">
      <formula>0</formula>
    </cfRule>
  </conditionalFormatting>
  <conditionalFormatting sqref="J52:K58">
    <cfRule type="cellIs" dxfId="69" priority="92" stopIfTrue="1" operator="lessThan">
      <formula>0</formula>
    </cfRule>
  </conditionalFormatting>
  <conditionalFormatting sqref="M30:M32">
    <cfRule type="cellIs" dxfId="68" priority="116" stopIfTrue="1" operator="lessThan">
      <formula>0</formula>
    </cfRule>
    <cfRule type="containsText" dxfId="67" priority="117" operator="containsText" text="FALSE">
      <formula>NOT(ISERROR(SEARCH("FALSE",M30)))</formula>
    </cfRule>
    <cfRule type="containsText" dxfId="66" priority="118" operator="containsText" text="TRUE">
      <formula>NOT(ISERROR(SEARCH("TRUE",M30)))</formula>
    </cfRule>
  </conditionalFormatting>
  <conditionalFormatting sqref="M34:M35">
    <cfRule type="cellIs" dxfId="65" priority="113" stopIfTrue="1" operator="lessThan">
      <formula>0</formula>
    </cfRule>
    <cfRule type="containsText" dxfId="64" priority="114" operator="containsText" text="FALSE">
      <formula>NOT(ISERROR(SEARCH("FALSE",M34)))</formula>
    </cfRule>
    <cfRule type="containsText" dxfId="63" priority="115" operator="containsText" text="TRUE">
      <formula>NOT(ISERROR(SEARCH("TRUE",M34)))</formula>
    </cfRule>
  </conditionalFormatting>
  <conditionalFormatting sqref="U30:W32 U33 U34:V35 V43">
    <cfRule type="cellIs" dxfId="62" priority="34" stopIfTrue="1" operator="lessThan">
      <formula>0</formula>
    </cfRule>
  </conditionalFormatting>
  <conditionalFormatting sqref="W34:W57">
    <cfRule type="cellIs" dxfId="61" priority="23" stopIfTrue="1" operator="lessThan">
      <formula>0</formula>
    </cfRule>
  </conditionalFormatting>
  <conditionalFormatting sqref="W61:W65">
    <cfRule type="cellIs" dxfId="60" priority="20" stopIfTrue="1" operator="lessThan">
      <formula>0</formula>
    </cfRule>
  </conditionalFormatting>
  <conditionalFormatting sqref="W69:X69">
    <cfRule type="containsText" dxfId="59" priority="30" operator="containsText" text="TRUE">
      <formula>NOT(ISERROR(SEARCH("TRUE",W69)))</formula>
    </cfRule>
    <cfRule type="containsText" dxfId="58" priority="29" operator="containsText" text="FALSE">
      <formula>NOT(ISERROR(SEARCH("FALSE",W69)))</formula>
    </cfRule>
  </conditionalFormatting>
  <conditionalFormatting sqref="X60:X68">
    <cfRule type="cellIs" dxfId="57" priority="21" stopIfTrue="1" operator="lessThan">
      <formula>0</formula>
    </cfRule>
  </conditionalFormatting>
  <conditionalFormatting sqref="X58:Z58">
    <cfRule type="cellIs" dxfId="56" priority="24" stopIfTrue="1" operator="lessThan">
      <formula>0</formula>
    </cfRule>
  </conditionalFormatting>
  <conditionalFormatting sqref="Y68:Y69">
    <cfRule type="containsText" dxfId="55" priority="32" operator="containsText" text="OKAY">
      <formula>NOT(ISERROR(SEARCH("OKAY",Y68)))</formula>
    </cfRule>
    <cfRule type="containsText" dxfId="54" priority="31" operator="containsText" text="ERROR">
      <formula>NOT(ISERROR(SEARCH("ERROR",Y68)))</formula>
    </cfRule>
  </conditionalFormatting>
  <conditionalFormatting sqref="Y30:Z32">
    <cfRule type="cellIs" dxfId="53" priority="28" stopIfTrue="1" operator="lessThan">
      <formula>0</formula>
    </cfRule>
  </conditionalFormatting>
  <conditionalFormatting sqref="Y34:Z42">
    <cfRule type="cellIs" dxfId="52" priority="27" stopIfTrue="1" operator="lessThan">
      <formula>0</formula>
    </cfRule>
  </conditionalFormatting>
  <conditionalFormatting sqref="Y44:Z57">
    <cfRule type="cellIs" dxfId="51" priority="33" stopIfTrue="1" operator="lessThan">
      <formula>0</formula>
    </cfRule>
  </conditionalFormatting>
  <conditionalFormatting sqref="Y61:Z67">
    <cfRule type="cellIs" dxfId="50" priority="26" stopIfTrue="1" operator="lessThan">
      <formula>0</formula>
    </cfRule>
  </conditionalFormatting>
  <conditionalFormatting sqref="H35">
    <cfRule type="cellIs" dxfId="18" priority="19" stopIfTrue="1" operator="lessThan">
      <formula>0</formula>
    </cfRule>
  </conditionalFormatting>
  <conditionalFormatting sqref="H36">
    <cfRule type="cellIs" dxfId="17" priority="18" stopIfTrue="1" operator="lessThan">
      <formula>0</formula>
    </cfRule>
  </conditionalFormatting>
  <conditionalFormatting sqref="H37">
    <cfRule type="cellIs" dxfId="16" priority="17" stopIfTrue="1" operator="lessThan">
      <formula>0</formula>
    </cfRule>
  </conditionalFormatting>
  <conditionalFormatting sqref="H38">
    <cfRule type="cellIs" dxfId="15" priority="16" stopIfTrue="1" operator="lessThan">
      <formula>0</formula>
    </cfRule>
  </conditionalFormatting>
  <conditionalFormatting sqref="H40">
    <cfRule type="cellIs" dxfId="14" priority="15" stopIfTrue="1" operator="lessThan">
      <formula>0</formula>
    </cfRule>
  </conditionalFormatting>
  <conditionalFormatting sqref="H41">
    <cfRule type="cellIs" dxfId="13" priority="14" stopIfTrue="1" operator="lessThan">
      <formula>0</formula>
    </cfRule>
  </conditionalFormatting>
  <conditionalFormatting sqref="H42">
    <cfRule type="cellIs" dxfId="12" priority="13" stopIfTrue="1" operator="lessThan">
      <formula>0</formula>
    </cfRule>
  </conditionalFormatting>
  <conditionalFormatting sqref="H44">
    <cfRule type="cellIs" dxfId="11" priority="12" stopIfTrue="1" operator="lessThan">
      <formula>0</formula>
    </cfRule>
  </conditionalFormatting>
  <conditionalFormatting sqref="H45">
    <cfRule type="cellIs" dxfId="10" priority="11" stopIfTrue="1" operator="lessThan">
      <formula>0</formula>
    </cfRule>
  </conditionalFormatting>
  <conditionalFormatting sqref="H46">
    <cfRule type="cellIs" dxfId="9" priority="10" stopIfTrue="1" operator="lessThan">
      <formula>0</formula>
    </cfRule>
  </conditionalFormatting>
  <conditionalFormatting sqref="H47">
    <cfRule type="cellIs" dxfId="8" priority="9" stopIfTrue="1" operator="lessThan">
      <formula>0</formula>
    </cfRule>
  </conditionalFormatting>
  <conditionalFormatting sqref="H48">
    <cfRule type="cellIs" dxfId="7" priority="8" stopIfTrue="1" operator="lessThan">
      <formula>0</formula>
    </cfRule>
  </conditionalFormatting>
  <conditionalFormatting sqref="J49">
    <cfRule type="cellIs" dxfId="6" priority="7" stopIfTrue="1" operator="lessThan">
      <formula>0</formula>
    </cfRule>
  </conditionalFormatting>
  <conditionalFormatting sqref="K49">
    <cfRule type="cellIs" dxfId="5" priority="6" stopIfTrue="1" operator="lessThan">
      <formula>0</formula>
    </cfRule>
  </conditionalFormatting>
  <conditionalFormatting sqref="H52">
    <cfRule type="cellIs" dxfId="4" priority="5" stopIfTrue="1" operator="lessThan">
      <formula>0</formula>
    </cfRule>
  </conditionalFormatting>
  <conditionalFormatting sqref="H53">
    <cfRule type="cellIs" dxfId="3" priority="4" stopIfTrue="1" operator="lessThan">
      <formula>0</formula>
    </cfRule>
  </conditionalFormatting>
  <conditionalFormatting sqref="H54">
    <cfRule type="cellIs" dxfId="2" priority="3" stopIfTrue="1" operator="lessThan">
      <formula>0</formula>
    </cfRule>
  </conditionalFormatting>
  <conditionalFormatting sqref="H55">
    <cfRule type="cellIs" dxfId="1" priority="2" stopIfTrue="1" operator="lessThan">
      <formula>0</formula>
    </cfRule>
  </conditionalFormatting>
  <conditionalFormatting sqref="H56">
    <cfRule type="cellIs" dxfId="0" priority="1" stopIfTrue="1" operator="lessThan">
      <formula>0</formula>
    </cfRule>
  </conditionalFormatting>
  <hyperlinks>
    <hyperlink ref="B74" r:id="rId1" xr:uid="{2EF2292E-7948-4F1A-BDFE-D9D3556D48D4}"/>
  </hyperlinks>
  <pageMargins left="0.25" right="0.25" top="0.75" bottom="0.75" header="0.3" footer="0.3"/>
  <pageSetup scale="65" orientation="portrait" horizontalDpi="1200" verticalDpi="1200"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19503-FF1E-4B75-AB05-6DE0DCF63B69}">
  <sheetPr codeName="Sheet49"/>
  <dimension ref="A1"/>
  <sheetViews>
    <sheetView workbookViewId="0">
      <selection activeCell="J13" sqref="J13"/>
    </sheetView>
  </sheetViews>
  <sheetFormatPr baseColWidth="10" defaultColWidth="8.83203125" defaultRowHeight="14" x14ac:dyDescent="0.1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36409-BFD8-4A3F-B98D-F93DE7568C22}">
  <sheetPr codeName="Sheet6">
    <pageSetUpPr fitToPage="1"/>
  </sheetPr>
  <dimension ref="A3:AH164"/>
  <sheetViews>
    <sheetView tabSelected="1" topLeftCell="A13" workbookViewId="0">
      <selection activeCell="E17" sqref="E17"/>
    </sheetView>
  </sheetViews>
  <sheetFormatPr baseColWidth="10" defaultColWidth="9" defaultRowHeight="14" x14ac:dyDescent="0.15"/>
  <cols>
    <col min="1" max="1" width="2.33203125" customWidth="1"/>
    <col min="2" max="2" width="29.6640625" customWidth="1"/>
    <col min="3" max="3" width="18.5" customWidth="1"/>
    <col min="4" max="4" width="18.33203125" customWidth="1"/>
    <col min="5" max="5" width="23.33203125" customWidth="1"/>
    <col min="6" max="6" width="18.33203125" customWidth="1"/>
    <col min="7" max="7" width="17.6640625" customWidth="1"/>
    <col min="8" max="8" width="9.83203125" customWidth="1"/>
    <col min="9" max="9" width="17.83203125" customWidth="1"/>
    <col min="10" max="10" width="11.1640625" style="1" customWidth="1"/>
    <col min="11" max="11" width="13.1640625" customWidth="1"/>
    <col min="12" max="14" width="11" customWidth="1"/>
    <col min="15" max="15" width="16.33203125" customWidth="1"/>
    <col min="17" max="17" width="23.1640625" customWidth="1"/>
    <col min="18" max="18" width="15.5" customWidth="1"/>
    <col min="19" max="19" width="18.6640625" style="185" customWidth="1"/>
    <col min="20" max="20" width="14.33203125" customWidth="1"/>
    <col min="21" max="21" width="15.33203125" customWidth="1"/>
    <col min="22" max="22" width="10.5" customWidth="1"/>
    <col min="23" max="23" width="11.1640625" customWidth="1"/>
    <col min="24" max="24" width="14.33203125" customWidth="1"/>
    <col min="25" max="25" width="14.83203125" customWidth="1"/>
    <col min="26" max="26" width="14.6640625" customWidth="1"/>
    <col min="27" max="27" width="8" customWidth="1"/>
    <col min="28" max="28" width="11.1640625" customWidth="1"/>
    <col min="29" max="29" width="11" customWidth="1"/>
    <col min="30" max="30" width="8.83203125" customWidth="1"/>
    <col min="31" max="31" width="10.33203125" customWidth="1"/>
    <col min="32" max="32" width="11" customWidth="1"/>
    <col min="34" max="34" width="17.5" customWidth="1"/>
  </cols>
  <sheetData>
    <row r="3" spans="3:17" x14ac:dyDescent="0.15">
      <c r="F3" s="332" t="s">
        <v>147</v>
      </c>
      <c r="G3" s="332"/>
      <c r="H3" s="332"/>
      <c r="I3" s="332"/>
      <c r="J3" s="332"/>
      <c r="M3" s="4"/>
      <c r="N3" s="4"/>
      <c r="O3" s="4"/>
      <c r="Q3" s="4"/>
    </row>
    <row r="4" spans="3:17" x14ac:dyDescent="0.15">
      <c r="M4" s="2"/>
      <c r="N4" s="2"/>
      <c r="O4" s="2"/>
      <c r="Q4" s="2"/>
    </row>
    <row r="7" spans="3:17" ht="15" thickBot="1" x14ac:dyDescent="0.2"/>
    <row r="8" spans="3:17" ht="15" thickBot="1" x14ac:dyDescent="0.2">
      <c r="C8" s="4" t="s">
        <v>148</v>
      </c>
      <c r="E8" s="97" t="s">
        <v>329</v>
      </c>
      <c r="F8" s="134"/>
      <c r="G8" s="4" t="s">
        <v>149</v>
      </c>
      <c r="H8" s="307"/>
      <c r="I8" s="71"/>
    </row>
    <row r="9" spans="3:17" ht="15" thickBot="1" x14ac:dyDescent="0.2">
      <c r="C9" s="4" t="s">
        <v>150</v>
      </c>
      <c r="E9" s="97"/>
      <c r="F9" s="134"/>
    </row>
    <row r="10" spans="3:17" ht="15" thickBot="1" x14ac:dyDescent="0.2">
      <c r="C10" s="4" t="s">
        <v>151</v>
      </c>
      <c r="E10" s="97"/>
      <c r="F10" s="134"/>
      <c r="G10" s="4" t="s">
        <v>152</v>
      </c>
    </row>
    <row r="11" spans="3:17" ht="15" thickBot="1" x14ac:dyDescent="0.2">
      <c r="C11" s="4" t="s">
        <v>153</v>
      </c>
      <c r="E11" s="395"/>
      <c r="F11" s="134"/>
      <c r="G11" s="308" t="s">
        <v>154</v>
      </c>
      <c r="H11" s="282"/>
      <c r="I11" s="282"/>
      <c r="J11" s="301"/>
      <c r="K11" s="282"/>
      <c r="L11" s="282"/>
      <c r="M11" s="282"/>
      <c r="N11" s="282"/>
      <c r="O11" s="309"/>
    </row>
    <row r="12" spans="3:17" ht="15" thickBot="1" x14ac:dyDescent="0.2">
      <c r="C12" s="4" t="s">
        <v>155</v>
      </c>
      <c r="E12" s="395"/>
      <c r="F12" s="134"/>
      <c r="G12" s="310"/>
      <c r="H12" t="s">
        <v>156</v>
      </c>
      <c r="O12" s="56"/>
    </row>
    <row r="13" spans="3:17" ht="15" thickBot="1" x14ac:dyDescent="0.2">
      <c r="C13" s="4" t="s">
        <v>157</v>
      </c>
      <c r="E13" s="395"/>
      <c r="F13" s="134"/>
      <c r="G13" s="310" t="s">
        <v>158</v>
      </c>
      <c r="O13" s="56"/>
    </row>
    <row r="14" spans="3:17" x14ac:dyDescent="0.15">
      <c r="E14" s="188"/>
      <c r="F14" s="134"/>
      <c r="G14" s="310" t="s">
        <v>159</v>
      </c>
      <c r="O14" s="56"/>
    </row>
    <row r="15" spans="3:17" x14ac:dyDescent="0.15">
      <c r="E15" s="188"/>
      <c r="F15" s="134"/>
      <c r="G15" s="310" t="s">
        <v>160</v>
      </c>
      <c r="O15" s="56"/>
    </row>
    <row r="16" spans="3:17" x14ac:dyDescent="0.15">
      <c r="E16" s="188"/>
      <c r="F16" s="134"/>
      <c r="G16" s="311" t="s">
        <v>161</v>
      </c>
      <c r="H16" s="312"/>
      <c r="I16" s="312"/>
      <c r="J16" s="313"/>
      <c r="K16" s="312"/>
      <c r="L16" s="312"/>
      <c r="M16" s="312"/>
      <c r="N16" s="312"/>
      <c r="O16" s="47"/>
      <c r="Q16" s="4" t="s">
        <v>162</v>
      </c>
    </row>
    <row r="17" spans="2:34" ht="15" x14ac:dyDescent="0.2">
      <c r="B17" s="1"/>
      <c r="C17" s="189"/>
      <c r="D17" s="189"/>
      <c r="E17" s="189"/>
      <c r="F17" s="189"/>
      <c r="G17" s="190"/>
      <c r="H17" s="190"/>
      <c r="I17" s="190"/>
    </row>
    <row r="18" spans="2:34" ht="17" thickBot="1" x14ac:dyDescent="0.25">
      <c r="B18" s="191" t="s">
        <v>163</v>
      </c>
      <c r="C18" s="189"/>
      <c r="D18" s="189"/>
      <c r="E18" s="189"/>
      <c r="F18" s="189"/>
      <c r="G18" s="190"/>
    </row>
    <row r="19" spans="2:34" s="196" customFormat="1" ht="18" customHeight="1" thickBot="1" x14ac:dyDescent="0.2">
      <c r="B19" s="192"/>
      <c r="C19" s="193"/>
      <c r="D19" s="193"/>
      <c r="E19" s="193"/>
      <c r="F19" s="194"/>
      <c r="G19" s="340" t="s">
        <v>164</v>
      </c>
      <c r="H19" s="341"/>
      <c r="I19" s="341"/>
      <c r="J19" s="341"/>
      <c r="K19" s="341"/>
      <c r="L19" s="195"/>
      <c r="Q19" s="362" t="s">
        <v>165</v>
      </c>
      <c r="R19" s="363"/>
      <c r="S19" s="363"/>
      <c r="T19" s="363"/>
      <c r="U19" s="363"/>
      <c r="V19" s="363"/>
      <c r="W19" s="364"/>
      <c r="Z19" s="362" t="s">
        <v>166</v>
      </c>
      <c r="AA19" s="363"/>
      <c r="AB19" s="363"/>
      <c r="AC19" s="363"/>
      <c r="AD19" s="363"/>
      <c r="AE19" s="363"/>
      <c r="AF19" s="364"/>
    </row>
    <row r="20" spans="2:34" s="196" customFormat="1" ht="30" customHeight="1" thickTop="1" thickBot="1" x14ac:dyDescent="0.2">
      <c r="B20" s="337" t="s">
        <v>167</v>
      </c>
      <c r="C20" s="171" t="s">
        <v>168</v>
      </c>
      <c r="D20" s="169" t="s">
        <v>169</v>
      </c>
      <c r="E20" s="170" t="s">
        <v>170</v>
      </c>
      <c r="F20" s="171" t="s">
        <v>171</v>
      </c>
      <c r="G20" s="172" t="s">
        <v>172</v>
      </c>
      <c r="H20" s="293" t="s">
        <v>173</v>
      </c>
      <c r="I20" s="173" t="s">
        <v>174</v>
      </c>
      <c r="J20" s="293" t="s">
        <v>175</v>
      </c>
      <c r="K20" s="179" t="s">
        <v>77</v>
      </c>
      <c r="Q20" s="197" t="s">
        <v>176</v>
      </c>
      <c r="R20" s="198" t="s">
        <v>177</v>
      </c>
      <c r="S20" s="198" t="s">
        <v>178</v>
      </c>
      <c r="T20" s="198" t="s">
        <v>179</v>
      </c>
      <c r="U20" s="198" t="s">
        <v>180</v>
      </c>
      <c r="V20" s="198" t="s">
        <v>7</v>
      </c>
      <c r="W20" s="199" t="s">
        <v>181</v>
      </c>
      <c r="Z20" s="197" t="s">
        <v>176</v>
      </c>
      <c r="AA20" s="198" t="s">
        <v>177</v>
      </c>
      <c r="AB20" s="198" t="s">
        <v>178</v>
      </c>
      <c r="AC20" s="198" t="s">
        <v>179</v>
      </c>
      <c r="AD20" s="198" t="s">
        <v>180</v>
      </c>
      <c r="AE20" s="198" t="s">
        <v>7</v>
      </c>
      <c r="AF20" s="199" t="s">
        <v>181</v>
      </c>
      <c r="AH20" s="200" t="s">
        <v>182</v>
      </c>
    </row>
    <row r="21" spans="2:34" ht="16" thickTop="1" x14ac:dyDescent="0.2">
      <c r="B21" s="338"/>
      <c r="C21" s="147"/>
      <c r="D21" s="98"/>
      <c r="E21" s="98"/>
      <c r="F21" s="146"/>
      <c r="G21" s="99"/>
      <c r="H21" s="160"/>
      <c r="I21" s="100"/>
      <c r="J21" s="201" t="str">
        <f>IF(SandBHQP4[[#This Row],[FTE %]]&gt;0,100-SandBHQP4[[#This Row],[FTE %]],"")</f>
        <v/>
      </c>
      <c r="K21" s="101"/>
      <c r="Q21" s="202" t="str">
        <f>IF(SandBHQP4[[#This Row],[Salary &amp; Benefits]]&lt;&gt;"","30000","")</f>
        <v/>
      </c>
      <c r="R21" s="203" t="str">
        <f>IF(SandBHQP4[[#This Row],[Salary &amp; Benefits]]&lt;&gt;"","11601","")</f>
        <v/>
      </c>
      <c r="S21" s="203" t="str">
        <f>IF(SandBHQP4[[#This Row],[Salary &amp; Benefits]]&lt;&gt;"",_xlfn.XLOOKUP(SandBHQP4[[#This Row],[HQP Status]],TAccnt[Item],TAccnt[Account Code],"",0,1),"")</f>
        <v/>
      </c>
      <c r="T21" s="203" t="str">
        <f>IF(SandBHQP4[[#This Row],[Salary &amp; Benefits]]&lt;&gt;"","98001","")</f>
        <v/>
      </c>
      <c r="U21" s="204" t="str" cm="1">
        <f t="array" ref="U21">IF(AND(SandBHQP4[[#This Row],[Primary 
Project]]&lt;&gt;"",SandBHQP4[[#This Row],[FTE %]]&lt;&gt;""),Indices2Class($E$8,SandBHQP4[[#This Row],[Primary 
Project]]),"")</f>
        <v/>
      </c>
      <c r="V21" s="203" t="str">
        <f>IF(SandBHQP4[[#This Row],[Salary &amp; Benefits]]&lt;&gt;"","305102","")</f>
        <v/>
      </c>
      <c r="W21" s="205" t="str">
        <f>IF(AND(SandBHQP4[[#This Row],[FTE %]]&gt;0,SandBHQP4[[#This Row],[Salary &amp; Benefits]]&lt;&gt;""),ROUND(SandBHQP4[[#This Row],[Salary &amp; Benefits]]*SandBHQP4[[#This Row],[FTE %]]/100,2),"")</f>
        <v/>
      </c>
      <c r="Z21" s="202" t="str">
        <f>IF(Template!$AF21&lt;&gt;"","30000","")</f>
        <v/>
      </c>
      <c r="AA21" s="203" t="str">
        <f>IF(Template!$AF21&lt;&gt;"","11601","")</f>
        <v/>
      </c>
      <c r="AB21" s="203" t="str">
        <f>IF(Template!$AF21&lt;&gt;"",_xlfn.XLOOKUP(SandBHQP4[[#This Row],[HQP Status]],TAccnt[Item],TAccnt[Account Code],"",0,1),"")</f>
        <v/>
      </c>
      <c r="AC21" s="203" t="str">
        <f>IF(Template!$AF21&lt;&gt;"","98001","")</f>
        <v/>
      </c>
      <c r="AD21" s="204" t="str" cm="1">
        <f t="array" ref="AD21">IF(AND(SandBHQP4[[#This Row],[FTE %2]]&gt;0,SandBHQP4[[#This Row],[FTE %2]]&lt;&gt;""),Indices2Class($E$8,SandBHQP4[[#This Row],[Secondary 
Project ]]),"")</f>
        <v/>
      </c>
      <c r="AE21" s="203" t="str">
        <f>IF(Template!$AF21&lt;&gt;"","305102","")</f>
        <v/>
      </c>
      <c r="AF21" s="205" t="str">
        <f>IF(AND(SandBHQP4[[#This Row],[FTE %2]]&gt;0,SandBHQP4[[#This Row],[Salary &amp; Benefits]]&lt;&gt;""),SandBHQP4[[#This Row],[Salary &amp; Benefits]]-W21,"")</f>
        <v/>
      </c>
      <c r="AH21" s="206" t="str">
        <f>IF(SandBHQP4[[#This Row],[Salary &amp; Benefits]]&lt;&gt;"",IF(Template!$W21+IF(Template!$AF21&lt;&gt;"",Template!$AF21,0)=SandBHQP4[[#This Row],[Salary &amp; Benefits]],TRUE,FALSE),"")</f>
        <v/>
      </c>
    </row>
    <row r="22" spans="2:34" ht="15" x14ac:dyDescent="0.2">
      <c r="B22" s="338"/>
      <c r="C22" s="147"/>
      <c r="D22" s="98"/>
      <c r="E22" s="98"/>
      <c r="F22" s="146"/>
      <c r="G22" s="102"/>
      <c r="H22" s="161"/>
      <c r="I22" s="103"/>
      <c r="J22" s="207" t="str">
        <f>IF(SandBHQP4[[#This Row],[FTE %]]&gt;0,100-SandBHQP4[[#This Row],[FTE %]],"")</f>
        <v/>
      </c>
      <c r="K22" s="104"/>
      <c r="Q22" s="208" t="str">
        <f>IF(SandBHQP4[[#This Row],[Salary &amp; Benefits]]&lt;&gt;"","30000","")</f>
        <v/>
      </c>
      <c r="R22" s="185" t="str">
        <f>IF(SandBHQP4[[#This Row],[Salary &amp; Benefits]]&lt;&gt;"","11601","")</f>
        <v/>
      </c>
      <c r="S22" s="185" t="str">
        <f>IF(SandBHQP4[[#This Row],[Salary &amp; Benefits]]&lt;&gt;"",_xlfn.XLOOKUP(SandBHQP4[[#This Row],[HQP Status]],TAccnt[Item],TAccnt[Account Code],"",0,1),"")</f>
        <v/>
      </c>
      <c r="T22" s="185" t="str">
        <f>IF(SandBHQP4[[#This Row],[Salary &amp; Benefits]]&lt;&gt;"","98001","")</f>
        <v/>
      </c>
      <c r="U22" s="1" t="str" cm="1">
        <f t="array" ref="U22">IF(SandBHQP4[[#This Row],[FTE %]]&lt;&gt;"",Indices2Class($E$8,SandBHQP4[[#This Row],[Primary 
Project]]),"")</f>
        <v/>
      </c>
      <c r="V22" s="185" t="str">
        <f>IF(SandBHQP4[[#This Row],[Salary &amp; Benefits]]&lt;&gt;"","305102","")</f>
        <v/>
      </c>
      <c r="W22" s="209" t="str">
        <f>IF(AND(SandBHQP4[[#This Row],[FTE %]]&gt;0,SandBHQP4[[#This Row],[Salary &amp; Benefits]]&lt;&gt;""),ROUND(SandBHQP4[[#This Row],[Salary &amp; Benefits]]*SandBHQP4[[#This Row],[FTE %]]/100,2),"")</f>
        <v/>
      </c>
      <c r="Z22" s="208" t="str">
        <f>IF(Template!$AF22&lt;&gt;"","30000","")</f>
        <v/>
      </c>
      <c r="AA22" s="185" t="str">
        <f>IF(Template!$AF22&lt;&gt;"","11601","")</f>
        <v/>
      </c>
      <c r="AB22" s="185" t="str">
        <f>IF(Template!$AF22&lt;&gt;"",_xlfn.XLOOKUP(SandBHQP4[[#This Row],[HQP Status]],TAccnt[Item],TAccnt[Account Code],"",0,1),"")</f>
        <v/>
      </c>
      <c r="AC22" s="185" t="str">
        <f>IF(Template!$AF22&lt;&gt;"","98001","")</f>
        <v/>
      </c>
      <c r="AD22" s="1" t="str" cm="1">
        <f t="array" ref="AD22">IF(AND(SandBHQP4[[#This Row],[FTE %2]]&gt;0,SandBHQP4[[#This Row],[FTE %2]]&lt;&gt;""),Indices2Class($E$8,SandBHQP4[[#This Row],[Secondary 
Project ]]),"")</f>
        <v/>
      </c>
      <c r="AE22" s="185" t="str">
        <f>IF(Template!$AF22&lt;&gt;"","305102","")</f>
        <v/>
      </c>
      <c r="AF22" s="209" t="str">
        <f>IF(AND(SandBHQP4[[#This Row],[FTE %2]]&gt;0,SandBHQP4[[#This Row],[Salary &amp; Benefits]]&lt;&gt;""),SandBHQP4[[#This Row],[Salary &amp; Benefits]]-W22,"")</f>
        <v/>
      </c>
      <c r="AH22" s="210" t="str">
        <f>IF(SandBHQP4[[#This Row],[Salary &amp; Benefits]]&lt;&gt;"",IF(Template!$W22+IF(Template!$AF22&lt;&gt;"",Template!$AF22,0)=SandBHQP4[[#This Row],[Salary &amp; Benefits]],TRUE,FALSE),"")</f>
        <v/>
      </c>
    </row>
    <row r="23" spans="2:34" ht="15" x14ac:dyDescent="0.2">
      <c r="B23" s="338"/>
      <c r="C23" s="147"/>
      <c r="D23" s="98"/>
      <c r="E23" s="98"/>
      <c r="F23" s="146"/>
      <c r="G23" s="102"/>
      <c r="H23" s="161"/>
      <c r="I23" s="103"/>
      <c r="J23" s="207" t="str">
        <f>IF(SandBHQP4[[#This Row],[FTE %]]&gt;0,100-SandBHQP4[[#This Row],[FTE %]],"")</f>
        <v/>
      </c>
      <c r="K23" s="104"/>
      <c r="Q23" s="211" t="str">
        <f>IF(SandBHQP4[[#This Row],[Salary &amp; Benefits]]&lt;&gt;"","30000","")</f>
        <v/>
      </c>
      <c r="R23" s="212" t="str">
        <f>IF(SandBHQP4[[#This Row],[Salary &amp; Benefits]]&lt;&gt;"","11601","")</f>
        <v/>
      </c>
      <c r="S23" s="212" t="str">
        <f>IF(SandBHQP4[[#This Row],[Salary &amp; Benefits]]&lt;&gt;"",_xlfn.XLOOKUP(SandBHQP4[[#This Row],[HQP Status]],TAccnt[Item],TAccnt[Account Code],"",0,1),"")</f>
        <v/>
      </c>
      <c r="T23" s="212" t="str">
        <f>IF(SandBHQP4[[#This Row],[Salary &amp; Benefits]]&lt;&gt;"","98001","")</f>
        <v/>
      </c>
      <c r="U23" s="213" t="str" cm="1">
        <f t="array" ref="U23">IF(SandBHQP4[[#This Row],[FTE %]]&lt;&gt;"",Indices2Class($E$8,SandBHQP4[[#This Row],[Primary 
Project]]),"")</f>
        <v/>
      </c>
      <c r="V23" s="212" t="str">
        <f>IF(SandBHQP4[[#This Row],[Salary &amp; Benefits]]&lt;&gt;"","305102","")</f>
        <v/>
      </c>
      <c r="W23" s="214" t="str">
        <f>IF(AND(SandBHQP4[[#This Row],[FTE %]]&gt;0,SandBHQP4[[#This Row],[Salary &amp; Benefits]]&lt;&gt;""),ROUND(SandBHQP4[[#This Row],[Salary &amp; Benefits]]*SandBHQP4[[#This Row],[FTE %]]/100,2),"")</f>
        <v/>
      </c>
      <c r="Z23" s="211" t="str">
        <f>IF(Template!$AF23&lt;&gt;"","30000","")</f>
        <v/>
      </c>
      <c r="AA23" s="212" t="str">
        <f>IF(Template!$AF23&lt;&gt;"","11601","")</f>
        <v/>
      </c>
      <c r="AB23" s="212" t="str">
        <f>IF(Template!$AF23&lt;&gt;"",_xlfn.XLOOKUP(SandBHQP4[[#This Row],[HQP Status]],TAccnt[Item],TAccnt[Account Code],"",0,1),"")</f>
        <v/>
      </c>
      <c r="AC23" s="212" t="str">
        <f>IF(Template!$AF23&lt;&gt;"","98001","")</f>
        <v/>
      </c>
      <c r="AD23" s="213" t="str" cm="1">
        <f t="array" ref="AD23">IF(AND(SandBHQP4[[#This Row],[FTE %2]]&gt;0,SandBHQP4[[#This Row],[FTE %2]]&lt;&gt;""),Indices2Class($E$8,SandBHQP4[[#This Row],[Secondary 
Project ]]),"")</f>
        <v/>
      </c>
      <c r="AE23" s="212" t="str">
        <f>IF(Template!$AF23&lt;&gt;"","305102","")</f>
        <v/>
      </c>
      <c r="AF23" s="214" t="str">
        <f>IF(AND(SandBHQP4[[#This Row],[FTE %2]]&gt;0,SandBHQP4[[#This Row],[Salary &amp; Benefits]]&lt;&gt;""),SandBHQP4[[#This Row],[Salary &amp; Benefits]]-W23,"")</f>
        <v/>
      </c>
      <c r="AH23" s="215" t="str">
        <f>IF(SandBHQP4[[#This Row],[Salary &amp; Benefits]]&lt;&gt;"",IF(Template!$W23+IF(Template!$AF23&lt;&gt;"",Template!$AF23,0)=SandBHQP4[[#This Row],[Salary &amp; Benefits]],TRUE,FALSE),"")</f>
        <v/>
      </c>
    </row>
    <row r="24" spans="2:34" ht="15" x14ac:dyDescent="0.2">
      <c r="B24" s="338"/>
      <c r="C24" s="147"/>
      <c r="D24" s="98"/>
      <c r="E24" s="98"/>
      <c r="F24" s="146"/>
      <c r="G24" s="102"/>
      <c r="H24" s="161"/>
      <c r="I24" s="103"/>
      <c r="J24" s="207" t="str">
        <f>IF(SandBHQP4[[#This Row],[FTE %]]&gt;0,100-SandBHQP4[[#This Row],[FTE %]],"")</f>
        <v/>
      </c>
      <c r="K24" s="104"/>
      <c r="Q24" s="208" t="str">
        <f>IF(SandBHQP4[[#This Row],[Salary &amp; Benefits]]&lt;&gt;"","30000","")</f>
        <v/>
      </c>
      <c r="R24" s="185" t="str">
        <f>IF(SandBHQP4[[#This Row],[Salary &amp; Benefits]]&lt;&gt;"","11601","")</f>
        <v/>
      </c>
      <c r="S24" s="185" t="str">
        <f>IF(SandBHQP4[[#This Row],[Salary &amp; Benefits]]&lt;&gt;"",_xlfn.XLOOKUP(SandBHQP4[[#This Row],[HQP Status]],TAccnt[Item],TAccnt[Account Code],"",0,1),"")</f>
        <v/>
      </c>
      <c r="T24" s="185" t="str">
        <f>IF(SandBHQP4[[#This Row],[Salary &amp; Benefits]]&lt;&gt;"","98001","")</f>
        <v/>
      </c>
      <c r="U24" s="1" t="str" cm="1">
        <f t="array" ref="U24">IF(SandBHQP4[[#This Row],[FTE %]]&lt;&gt;"",Indices2Class($E$8,SandBHQP4[[#This Row],[Primary 
Project]]),"")</f>
        <v/>
      </c>
      <c r="V24" s="185" t="str">
        <f>IF(SandBHQP4[[#This Row],[Salary &amp; Benefits]]&lt;&gt;"","305102","")</f>
        <v/>
      </c>
      <c r="W24" s="209" t="str">
        <f>IF(AND(SandBHQP4[[#This Row],[FTE %]]&gt;0,SandBHQP4[[#This Row],[Salary &amp; Benefits]]&lt;&gt;""),ROUND(SandBHQP4[[#This Row],[Salary &amp; Benefits]]*SandBHQP4[[#This Row],[FTE %]]/100,2),"")</f>
        <v/>
      </c>
      <c r="Z24" s="208" t="str">
        <f>IF(Template!$AF24&lt;&gt;"","30000","")</f>
        <v/>
      </c>
      <c r="AA24" s="185" t="str">
        <f>IF(Template!$AF24&lt;&gt;"","11601","")</f>
        <v/>
      </c>
      <c r="AB24" s="185" t="str">
        <f>IF(Template!$AF24&lt;&gt;"",_xlfn.XLOOKUP(SandBHQP4[[#This Row],[HQP Status]],TAccnt[Item],TAccnt[Account Code],"",0,1),"")</f>
        <v/>
      </c>
      <c r="AC24" s="185" t="str">
        <f>IF(Template!$AF24&lt;&gt;"","98001","")</f>
        <v/>
      </c>
      <c r="AD24" s="1" t="str" cm="1">
        <f t="array" ref="AD24">IF(AND(SandBHQP4[[#This Row],[FTE %2]]&gt;0,SandBHQP4[[#This Row],[FTE %2]]&lt;&gt;""),Indices2Class($E$8,SandBHQP4[[#This Row],[Secondary 
Project ]]),"")</f>
        <v/>
      </c>
      <c r="AE24" s="185" t="str">
        <f>IF(Template!$AF24&lt;&gt;"","305102","")</f>
        <v/>
      </c>
      <c r="AF24" s="209" t="str">
        <f>IF(AND(SandBHQP4[[#This Row],[FTE %2]]&gt;0,SandBHQP4[[#This Row],[Salary &amp; Benefits]]&lt;&gt;""),SandBHQP4[[#This Row],[Salary &amp; Benefits]]-W24,"")</f>
        <v/>
      </c>
      <c r="AH24" s="210" t="str">
        <f>IF(SandBHQP4[[#This Row],[Salary &amp; Benefits]]&lt;&gt;"",IF(Template!$W24+IF(Template!$AF24&lt;&gt;"",Template!$AF24,0)=SandBHQP4[[#This Row],[Salary &amp; Benefits]],TRUE,FALSE),"")</f>
        <v/>
      </c>
    </row>
    <row r="25" spans="2:34" ht="15" x14ac:dyDescent="0.2">
      <c r="B25" s="338"/>
      <c r="C25" s="147"/>
      <c r="D25" s="98"/>
      <c r="E25" s="98"/>
      <c r="F25" s="146"/>
      <c r="G25" s="102"/>
      <c r="H25" s="161"/>
      <c r="I25" s="103"/>
      <c r="J25" s="207" t="str">
        <f>IF(SandBHQP4[[#This Row],[FTE %]]&gt;0,100-SandBHQP4[[#This Row],[FTE %]],"")</f>
        <v/>
      </c>
      <c r="K25" s="105"/>
      <c r="Q25" s="211" t="str">
        <f>IF(SandBHQP4[[#This Row],[Salary &amp; Benefits]]&lt;&gt;"","30000","")</f>
        <v/>
      </c>
      <c r="R25" s="212" t="str">
        <f>IF(SandBHQP4[[#This Row],[Salary &amp; Benefits]]&lt;&gt;"","11601","")</f>
        <v/>
      </c>
      <c r="S25" s="212" t="str">
        <f>IF(SandBHQP4[[#This Row],[Salary &amp; Benefits]]&lt;&gt;"",_xlfn.XLOOKUP(SandBHQP4[[#This Row],[HQP Status]],TAccnt[Item],TAccnt[Account Code],"",0,1),"")</f>
        <v/>
      </c>
      <c r="T25" s="212" t="str">
        <f>IF(SandBHQP4[[#This Row],[Salary &amp; Benefits]]&lt;&gt;"","98001","")</f>
        <v/>
      </c>
      <c r="U25" s="213" t="str" cm="1">
        <f t="array" ref="U25">IF(SandBHQP4[[#This Row],[FTE %]]&lt;&gt;"",Indices2Class($E$8,SandBHQP4[[#This Row],[Primary 
Project]]),"")</f>
        <v/>
      </c>
      <c r="V25" s="212" t="str">
        <f>IF(SandBHQP4[[#This Row],[Salary &amp; Benefits]]&lt;&gt;"","305102","")</f>
        <v/>
      </c>
      <c r="W25" s="214" t="str">
        <f>IF(AND(SandBHQP4[[#This Row],[FTE %]]&gt;0,SandBHQP4[[#This Row],[Salary &amp; Benefits]]&lt;&gt;""),ROUND(SandBHQP4[[#This Row],[Salary &amp; Benefits]]*SandBHQP4[[#This Row],[FTE %]]/100,2),"")</f>
        <v/>
      </c>
      <c r="Z25" s="211" t="str">
        <f>IF(Template!$AF25&lt;&gt;"","30000","")</f>
        <v/>
      </c>
      <c r="AA25" s="212" t="str">
        <f>IF(Template!$AF25&lt;&gt;"","11601","")</f>
        <v/>
      </c>
      <c r="AB25" s="212" t="str">
        <f>IF(Template!$AF25&lt;&gt;"",_xlfn.XLOOKUP(SandBHQP4[[#This Row],[HQP Status]],TAccnt[Item],TAccnt[Account Code],"",0,1),"")</f>
        <v/>
      </c>
      <c r="AC25" s="212" t="str">
        <f>IF(Template!$AF25&lt;&gt;"","98001","")</f>
        <v/>
      </c>
      <c r="AD25" s="213" t="str" cm="1">
        <f t="array" ref="AD25">IF(AND(SandBHQP4[[#This Row],[FTE %2]]&gt;0,SandBHQP4[[#This Row],[FTE %2]]&lt;&gt;""),Indices2Class($E$8,SandBHQP4[[#This Row],[Secondary 
Project ]]),"")</f>
        <v/>
      </c>
      <c r="AE25" s="212" t="str">
        <f>IF(Template!$AF25&lt;&gt;"","305102","")</f>
        <v/>
      </c>
      <c r="AF25" s="214" t="str">
        <f>IF(AND(SandBHQP4[[#This Row],[FTE %2]]&gt;0,SandBHQP4[[#This Row],[Salary &amp; Benefits]]&lt;&gt;""),SandBHQP4[[#This Row],[Salary &amp; Benefits]]-W25,"")</f>
        <v/>
      </c>
      <c r="AH25" s="215" t="str">
        <f>IF(SandBHQP4[[#This Row],[Salary &amp; Benefits]]&lt;&gt;"",IF(Template!$W25+IF(Template!$AF25&lt;&gt;"",Template!$AF25,0)=SandBHQP4[[#This Row],[Salary &amp; Benefits]],TRUE,FALSE),"")</f>
        <v/>
      </c>
    </row>
    <row r="26" spans="2:34" ht="15" x14ac:dyDescent="0.2">
      <c r="B26" s="338"/>
      <c r="C26" s="147"/>
      <c r="D26" s="98"/>
      <c r="E26" s="98"/>
      <c r="F26" s="146"/>
      <c r="G26" s="102"/>
      <c r="H26" s="161"/>
      <c r="I26" s="103"/>
      <c r="J26" s="207" t="str">
        <f>IF(SandBHQP4[[#This Row],[FTE %]]&gt;0,100-SandBHQP4[[#This Row],[FTE %]],"")</f>
        <v/>
      </c>
      <c r="K26" s="104"/>
      <c r="Q26" s="208" t="str">
        <f>IF(SandBHQP4[[#This Row],[Salary &amp; Benefits]]&lt;&gt;"","30000","")</f>
        <v/>
      </c>
      <c r="R26" s="185" t="str">
        <f>IF(SandBHQP4[[#This Row],[Salary &amp; Benefits]]&lt;&gt;"","11601","")</f>
        <v/>
      </c>
      <c r="S26" s="185" t="str">
        <f>IF(SandBHQP4[[#This Row],[Salary &amp; Benefits]]&lt;&gt;"",_xlfn.XLOOKUP(SandBHQP4[[#This Row],[HQP Status]],TAccnt[Item],TAccnt[Account Code],"",0,1),"")</f>
        <v/>
      </c>
      <c r="T26" s="185" t="str">
        <f>IF(SandBHQP4[[#This Row],[Salary &amp; Benefits]]&lt;&gt;"","98001","")</f>
        <v/>
      </c>
      <c r="U26" s="1" t="str" cm="1">
        <f t="array" ref="U26">IF(SandBHQP4[[#This Row],[FTE %]]&lt;&gt;"",Indices2Class($E$8,SandBHQP4[[#This Row],[Primary 
Project]]),"")</f>
        <v/>
      </c>
      <c r="V26" s="185" t="str">
        <f>IF(SandBHQP4[[#This Row],[Salary &amp; Benefits]]&lt;&gt;"","305102","")</f>
        <v/>
      </c>
      <c r="W26" s="209" t="str">
        <f>IF(AND(SandBHQP4[[#This Row],[FTE %]]&gt;0,SandBHQP4[[#This Row],[Salary &amp; Benefits]]&lt;&gt;""),ROUND(SandBHQP4[[#This Row],[Salary &amp; Benefits]]*SandBHQP4[[#This Row],[FTE %]]/100,2),"")</f>
        <v/>
      </c>
      <c r="Z26" s="208" t="str">
        <f>IF(Template!$AF26&lt;&gt;"","30000","")</f>
        <v/>
      </c>
      <c r="AA26" s="185" t="str">
        <f>IF(Template!$AF26&lt;&gt;"","11601","")</f>
        <v/>
      </c>
      <c r="AB26" s="185" t="str">
        <f>IF(Template!$AF26&lt;&gt;"",_xlfn.XLOOKUP(SandBHQP4[[#This Row],[HQP Status]],TAccnt[Item],TAccnt[Account Code],"",0,1),"")</f>
        <v/>
      </c>
      <c r="AC26" s="185" t="str">
        <f>IF(Template!$AF26&lt;&gt;"","98001","")</f>
        <v/>
      </c>
      <c r="AD26" s="1" t="str" cm="1">
        <f t="array" ref="AD26">IF(AND(SandBHQP4[[#This Row],[FTE %2]]&gt;0,SandBHQP4[[#This Row],[FTE %2]]&lt;&gt;""),Indices2Class($E$8,SandBHQP4[[#This Row],[Secondary 
Project ]]),"")</f>
        <v/>
      </c>
      <c r="AE26" s="185" t="str">
        <f>IF(Template!$AF26&lt;&gt;"","305102","")</f>
        <v/>
      </c>
      <c r="AF26" s="209" t="str">
        <f>IF(AND(SandBHQP4[[#This Row],[FTE %2]]&gt;0,SandBHQP4[[#This Row],[Salary &amp; Benefits]]&lt;&gt;""),SandBHQP4[[#This Row],[Salary &amp; Benefits]]-W26,"")</f>
        <v/>
      </c>
      <c r="AH26" s="210" t="str">
        <f>IF(SandBHQP4[[#This Row],[Salary &amp; Benefits]]&lt;&gt;"",IF(Template!$W26+IF(Template!$AF26&lt;&gt;"",Template!$AF26,0)=SandBHQP4[[#This Row],[Salary &amp; Benefits]],TRUE,FALSE),"")</f>
        <v/>
      </c>
    </row>
    <row r="27" spans="2:34" ht="15" x14ac:dyDescent="0.2">
      <c r="B27" s="338"/>
      <c r="C27" s="147"/>
      <c r="D27" s="98"/>
      <c r="E27" s="98"/>
      <c r="F27" s="146"/>
      <c r="G27" s="102"/>
      <c r="H27" s="161"/>
      <c r="I27" s="103"/>
      <c r="J27" s="207" t="str">
        <f>IF(SandBHQP4[[#This Row],[FTE %]]&gt;0,100-SandBHQP4[[#This Row],[FTE %]],"")</f>
        <v/>
      </c>
      <c r="K27" s="104"/>
      <c r="Q27" s="211" t="str">
        <f>IF(SandBHQP4[[#This Row],[Salary &amp; Benefits]]&lt;&gt;"","30000","")</f>
        <v/>
      </c>
      <c r="R27" s="212" t="str">
        <f>IF(SandBHQP4[[#This Row],[Salary &amp; Benefits]]&lt;&gt;"","11601","")</f>
        <v/>
      </c>
      <c r="S27" s="212" t="str">
        <f>IF(SandBHQP4[[#This Row],[Salary &amp; Benefits]]&lt;&gt;"",_xlfn.XLOOKUP(SandBHQP4[[#This Row],[HQP Status]],TAccnt[Item],TAccnt[Account Code],"",0,1),"")</f>
        <v/>
      </c>
      <c r="T27" s="212" t="str">
        <f>IF(SandBHQP4[[#This Row],[Salary &amp; Benefits]]&lt;&gt;"","98001","")</f>
        <v/>
      </c>
      <c r="U27" s="213" t="str" cm="1">
        <f t="array" ref="U27">IF(SandBHQP4[[#This Row],[FTE %]]&lt;&gt;"",Indices2Class($E$8,SandBHQP4[[#This Row],[Primary 
Project]]),"")</f>
        <v/>
      </c>
      <c r="V27" s="212" t="str">
        <f>IF(SandBHQP4[[#This Row],[Salary &amp; Benefits]]&lt;&gt;"","305102","")</f>
        <v/>
      </c>
      <c r="W27" s="214" t="str">
        <f>IF(AND(SandBHQP4[[#This Row],[FTE %]]&gt;0,SandBHQP4[[#This Row],[Salary &amp; Benefits]]&lt;&gt;""),ROUND(SandBHQP4[[#This Row],[Salary &amp; Benefits]]*SandBHQP4[[#This Row],[FTE %]]/100,2),"")</f>
        <v/>
      </c>
      <c r="Z27" s="211" t="str">
        <f>IF(Template!$AF27&lt;&gt;"","30000","")</f>
        <v/>
      </c>
      <c r="AA27" s="212" t="str">
        <f>IF(Template!$AF27&lt;&gt;"","11601","")</f>
        <v/>
      </c>
      <c r="AB27" s="212" t="str">
        <f>IF(Template!$AF27&lt;&gt;"",_xlfn.XLOOKUP(SandBHQP4[[#This Row],[HQP Status]],TAccnt[Item],TAccnt[Account Code],"",0,1),"")</f>
        <v/>
      </c>
      <c r="AC27" s="212" t="str">
        <f>IF(Template!$AF27&lt;&gt;"","98001","")</f>
        <v/>
      </c>
      <c r="AD27" s="213" t="str" cm="1">
        <f t="array" ref="AD27">IF(AND(SandBHQP4[[#This Row],[FTE %2]]&gt;0,SandBHQP4[[#This Row],[FTE %2]]&lt;&gt;""),Indices2Class($E$8,SandBHQP4[[#This Row],[Secondary 
Project ]]),"")</f>
        <v/>
      </c>
      <c r="AE27" s="212" t="str">
        <f>IF(Template!$AF27&lt;&gt;"","305102","")</f>
        <v/>
      </c>
      <c r="AF27" s="214" t="str">
        <f>IF(AND(SandBHQP4[[#This Row],[FTE %2]]&gt;0,SandBHQP4[[#This Row],[Salary &amp; Benefits]]&lt;&gt;""),SandBHQP4[[#This Row],[Salary &amp; Benefits]]-W27,"")</f>
        <v/>
      </c>
      <c r="AH27" s="215" t="str">
        <f>IF(SandBHQP4[[#This Row],[Salary &amp; Benefits]]&lt;&gt;"",IF(Template!$W27+IF(Template!$AF27&lt;&gt;"",Template!$AF27,0)=SandBHQP4[[#This Row],[Salary &amp; Benefits]],TRUE,FALSE),"")</f>
        <v/>
      </c>
    </row>
    <row r="28" spans="2:34" ht="15" x14ac:dyDescent="0.2">
      <c r="B28" s="338"/>
      <c r="C28" s="147"/>
      <c r="D28" s="98"/>
      <c r="E28" s="98"/>
      <c r="F28" s="146"/>
      <c r="G28" s="102"/>
      <c r="H28" s="161"/>
      <c r="I28" s="103"/>
      <c r="J28" s="207" t="str">
        <f>IF(SandBHQP4[[#This Row],[FTE %]]&gt;0,100-SandBHQP4[[#This Row],[FTE %]],"")</f>
        <v/>
      </c>
      <c r="K28" s="104"/>
      <c r="Q28" s="208" t="str">
        <f>IF(SandBHQP4[[#This Row],[Salary &amp; Benefits]]&lt;&gt;"","30000","")</f>
        <v/>
      </c>
      <c r="R28" s="185" t="str">
        <f>IF(SandBHQP4[[#This Row],[Salary &amp; Benefits]]&lt;&gt;"","11601","")</f>
        <v/>
      </c>
      <c r="S28" s="185" t="str">
        <f>IF(SandBHQP4[[#This Row],[Salary &amp; Benefits]]&lt;&gt;"",_xlfn.XLOOKUP(SandBHQP4[[#This Row],[HQP Status]],TAccnt[Item],TAccnt[Account Code],"",0,1),"")</f>
        <v/>
      </c>
      <c r="T28" s="185" t="str">
        <f>IF(SandBHQP4[[#This Row],[Salary &amp; Benefits]]&lt;&gt;"","98001","")</f>
        <v/>
      </c>
      <c r="U28" s="1" t="str" cm="1">
        <f t="array" ref="U28">IF(SandBHQP4[[#This Row],[FTE %]]&lt;&gt;"",Indices2Class($E$8,SandBHQP4[[#This Row],[Primary 
Project]]),"")</f>
        <v/>
      </c>
      <c r="V28" s="185" t="str">
        <f>IF(SandBHQP4[[#This Row],[Salary &amp; Benefits]]&lt;&gt;"","305102","")</f>
        <v/>
      </c>
      <c r="W28" s="209" t="str">
        <f>IF(AND(SandBHQP4[[#This Row],[FTE %]]&gt;0,SandBHQP4[[#This Row],[Salary &amp; Benefits]]&lt;&gt;""),ROUND(SandBHQP4[[#This Row],[Salary &amp; Benefits]]*SandBHQP4[[#This Row],[FTE %]]/100,2),"")</f>
        <v/>
      </c>
      <c r="Z28" s="208" t="str">
        <f>IF(Template!$AF28&lt;&gt;"","30000","")</f>
        <v/>
      </c>
      <c r="AA28" s="185" t="str">
        <f>IF(Template!$AF28&lt;&gt;"","11601","")</f>
        <v/>
      </c>
      <c r="AB28" s="185" t="str">
        <f>IF(Template!$AF28&lt;&gt;"",_xlfn.XLOOKUP(SandBHQP4[[#This Row],[HQP Status]],TAccnt[Item],TAccnt[Account Code],"",0,1),"")</f>
        <v/>
      </c>
      <c r="AC28" s="185" t="str">
        <f>IF(Template!$AF28&lt;&gt;"","98001","")</f>
        <v/>
      </c>
      <c r="AD28" s="1" t="str" cm="1">
        <f t="array" ref="AD28">IF(AND(SandBHQP4[[#This Row],[FTE %2]]&gt;0,SandBHQP4[[#This Row],[FTE %2]]&lt;&gt;""),Indices2Class($E$8,SandBHQP4[[#This Row],[Secondary 
Project ]]),"")</f>
        <v/>
      </c>
      <c r="AE28" s="185" t="str">
        <f>IF(Template!$AF28&lt;&gt;"","305102","")</f>
        <v/>
      </c>
      <c r="AF28" s="209" t="str">
        <f>IF(AND(SandBHQP4[[#This Row],[FTE %2]]&gt;0,SandBHQP4[[#This Row],[Salary &amp; Benefits]]&lt;&gt;""),SandBHQP4[[#This Row],[Salary &amp; Benefits]]-W28,"")</f>
        <v/>
      </c>
      <c r="AH28" s="210" t="str">
        <f>IF(SandBHQP4[[#This Row],[Salary &amp; Benefits]]&lt;&gt;"",IF(Template!$W28+IF(Template!$AF28&lt;&gt;"",Template!$AF28,0)=SandBHQP4[[#This Row],[Salary &amp; Benefits]],TRUE,FALSE),"")</f>
        <v/>
      </c>
    </row>
    <row r="29" spans="2:34" ht="15" x14ac:dyDescent="0.2">
      <c r="B29" s="338"/>
      <c r="C29" s="147"/>
      <c r="D29" s="98"/>
      <c r="E29" s="98"/>
      <c r="F29" s="146"/>
      <c r="G29" s="102"/>
      <c r="H29" s="161"/>
      <c r="I29" s="103"/>
      <c r="J29" s="207" t="str">
        <f>IF(SandBHQP4[[#This Row],[FTE %]]&gt;0,100-SandBHQP4[[#This Row],[FTE %]],"")</f>
        <v/>
      </c>
      <c r="K29" s="104"/>
      <c r="Q29" s="211" t="str">
        <f>IF(SandBHQP4[[#This Row],[Salary &amp; Benefits]]&lt;&gt;"","30000","")</f>
        <v/>
      </c>
      <c r="R29" s="212" t="str">
        <f>IF(SandBHQP4[[#This Row],[Salary &amp; Benefits]]&lt;&gt;"","11601","")</f>
        <v/>
      </c>
      <c r="S29" s="212" t="str">
        <f>IF(SandBHQP4[[#This Row],[Salary &amp; Benefits]]&lt;&gt;"",_xlfn.XLOOKUP(SandBHQP4[[#This Row],[HQP Status]],TAccnt[Item],TAccnt[Account Code],"",0,1),"")</f>
        <v/>
      </c>
      <c r="T29" s="212" t="str">
        <f>IF(SandBHQP4[[#This Row],[Salary &amp; Benefits]]&lt;&gt;"","98001","")</f>
        <v/>
      </c>
      <c r="U29" s="213" t="str" cm="1">
        <f t="array" ref="U29">IF(SandBHQP4[[#This Row],[FTE %]]&lt;&gt;"",Indices2Class($E$8,SandBHQP4[[#This Row],[Primary 
Project]]),"")</f>
        <v/>
      </c>
      <c r="V29" s="212" t="str">
        <f>IF(SandBHQP4[[#This Row],[Salary &amp; Benefits]]&lt;&gt;"","305102","")</f>
        <v/>
      </c>
      <c r="W29" s="214" t="str">
        <f>IF(AND(SandBHQP4[[#This Row],[FTE %]]&gt;0,SandBHQP4[[#This Row],[Salary &amp; Benefits]]&lt;&gt;""),ROUND(SandBHQP4[[#This Row],[Salary &amp; Benefits]]*SandBHQP4[[#This Row],[FTE %]]/100,2),"")</f>
        <v/>
      </c>
      <c r="Z29" s="211" t="str">
        <f>IF(Template!$AF29&lt;&gt;"","30000","")</f>
        <v/>
      </c>
      <c r="AA29" s="212" t="str">
        <f>IF(Template!$AF29&lt;&gt;"","11601","")</f>
        <v/>
      </c>
      <c r="AB29" s="212" t="str">
        <f>IF(Template!$AF29&lt;&gt;"",_xlfn.XLOOKUP(SandBHQP4[[#This Row],[HQP Status]],TAccnt[Item],TAccnt[Account Code],"",0,1),"")</f>
        <v/>
      </c>
      <c r="AC29" s="212" t="str">
        <f>IF(Template!$AF29&lt;&gt;"","98001","")</f>
        <v/>
      </c>
      <c r="AD29" s="213" t="str" cm="1">
        <f t="array" ref="AD29">IF(AND(SandBHQP4[[#This Row],[FTE %2]]&gt;0,SandBHQP4[[#This Row],[FTE %2]]&lt;&gt;""),Indices2Class($E$8,SandBHQP4[[#This Row],[Secondary 
Project ]]),"")</f>
        <v/>
      </c>
      <c r="AE29" s="212" t="str">
        <f>IF(Template!$AF29&lt;&gt;"","305102","")</f>
        <v/>
      </c>
      <c r="AF29" s="214" t="str">
        <f>IF(AND(SandBHQP4[[#This Row],[FTE %2]]&gt;0,SandBHQP4[[#This Row],[Salary &amp; Benefits]]&lt;&gt;""),SandBHQP4[[#This Row],[Salary &amp; Benefits]]-W29,"")</f>
        <v/>
      </c>
      <c r="AH29" s="215" t="str">
        <f>IF(SandBHQP4[[#This Row],[Salary &amp; Benefits]]&lt;&gt;"",IF(Template!$W29+IF(Template!$AF29&lt;&gt;"",Template!$AF29,0)=SandBHQP4[[#This Row],[Salary &amp; Benefits]],TRUE,FALSE),"")</f>
        <v/>
      </c>
    </row>
    <row r="30" spans="2:34" ht="15" x14ac:dyDescent="0.2">
      <c r="B30" s="338"/>
      <c r="C30" s="147"/>
      <c r="D30" s="98"/>
      <c r="E30" s="98"/>
      <c r="F30" s="146"/>
      <c r="G30" s="102"/>
      <c r="H30" s="161"/>
      <c r="I30" s="103"/>
      <c r="J30" s="207" t="str">
        <f>IF(SandBHQP4[[#This Row],[FTE %]]&gt;0,100-SandBHQP4[[#This Row],[FTE %]],"")</f>
        <v/>
      </c>
      <c r="K30" s="104"/>
      <c r="Q30" s="208" t="str">
        <f>IF(SandBHQP4[[#This Row],[Salary &amp; Benefits]]&lt;&gt;"","30000","")</f>
        <v/>
      </c>
      <c r="R30" s="185" t="str">
        <f>IF(SandBHQP4[[#This Row],[Salary &amp; Benefits]]&lt;&gt;"","11601","")</f>
        <v/>
      </c>
      <c r="S30" s="185" t="str">
        <f>IF(SandBHQP4[[#This Row],[Salary &amp; Benefits]]&lt;&gt;"",_xlfn.XLOOKUP(SandBHQP4[[#This Row],[HQP Status]],TAccnt[Item],TAccnt[Account Code],"",0,1),"")</f>
        <v/>
      </c>
      <c r="T30" s="185" t="str">
        <f>IF(SandBHQP4[[#This Row],[Salary &amp; Benefits]]&lt;&gt;"","98001","")</f>
        <v/>
      </c>
      <c r="U30" s="1" t="str" cm="1">
        <f t="array" ref="U30">IF(SandBHQP4[[#This Row],[FTE %]]&lt;&gt;"",Indices2Class($E$8,SandBHQP4[[#This Row],[Primary 
Project]]),"")</f>
        <v/>
      </c>
      <c r="V30" s="185" t="str">
        <f>IF(SandBHQP4[[#This Row],[Salary &amp; Benefits]]&lt;&gt;"","305102","")</f>
        <v/>
      </c>
      <c r="W30" s="209" t="str">
        <f>IF(AND(SandBHQP4[[#This Row],[FTE %]]&gt;0,SandBHQP4[[#This Row],[Salary &amp; Benefits]]&lt;&gt;""),ROUND(SandBHQP4[[#This Row],[Salary &amp; Benefits]]*SandBHQP4[[#This Row],[FTE %]]/100,2),"")</f>
        <v/>
      </c>
      <c r="Z30" s="208" t="str">
        <f>IF(Template!$AF30&lt;&gt;"","30000","")</f>
        <v/>
      </c>
      <c r="AA30" s="185" t="str">
        <f>IF(Template!$AF30&lt;&gt;"","11601","")</f>
        <v/>
      </c>
      <c r="AB30" s="185" t="str">
        <f>IF(Template!$AF30&lt;&gt;"",_xlfn.XLOOKUP(SandBHQP4[[#This Row],[HQP Status]],TAccnt[Item],TAccnt[Account Code],"",0,1),"")</f>
        <v/>
      </c>
      <c r="AC30" s="185" t="str">
        <f>IF(Template!$AF30&lt;&gt;"","98001","")</f>
        <v/>
      </c>
      <c r="AD30" s="1" t="str" cm="1">
        <f t="array" ref="AD30">IF(AND(SandBHQP4[[#This Row],[FTE %2]]&gt;0,SandBHQP4[[#This Row],[FTE %2]]&lt;&gt;""),Indices2Class($E$8,SandBHQP4[[#This Row],[Secondary 
Project ]]),"")</f>
        <v/>
      </c>
      <c r="AE30" s="185" t="str">
        <f>IF(Template!$AF30&lt;&gt;"","305102","")</f>
        <v/>
      </c>
      <c r="AF30" s="209" t="str">
        <f>IF(AND(SandBHQP4[[#This Row],[FTE %2]]&gt;0,SandBHQP4[[#This Row],[Salary &amp; Benefits]]&lt;&gt;""),SandBHQP4[[#This Row],[Salary &amp; Benefits]]-W30,"")</f>
        <v/>
      </c>
      <c r="AH30" s="210" t="str">
        <f>IF(SandBHQP4[[#This Row],[Salary &amp; Benefits]]&lt;&gt;"",IF(Template!$W30+IF(Template!$AF30&lt;&gt;"",Template!$AF30,0)=SandBHQP4[[#This Row],[Salary &amp; Benefits]],TRUE,FALSE),"")</f>
        <v/>
      </c>
    </row>
    <row r="31" spans="2:34" ht="15" x14ac:dyDescent="0.2">
      <c r="B31" s="338"/>
      <c r="C31" s="147"/>
      <c r="D31" s="98"/>
      <c r="E31" s="98"/>
      <c r="F31" s="146"/>
      <c r="G31" s="102"/>
      <c r="H31" s="161"/>
      <c r="I31" s="103"/>
      <c r="J31" s="207" t="str">
        <f>IF(SandBHQP4[[#This Row],[FTE %]]&gt;0,100-SandBHQP4[[#This Row],[FTE %]],"")</f>
        <v/>
      </c>
      <c r="K31" s="104"/>
      <c r="Q31" s="211" t="str">
        <f>IF(SandBHQP4[[#This Row],[Salary &amp; Benefits]]&lt;&gt;"","30000","")</f>
        <v/>
      </c>
      <c r="R31" s="212" t="str">
        <f>IF(SandBHQP4[[#This Row],[Salary &amp; Benefits]]&lt;&gt;"","11601","")</f>
        <v/>
      </c>
      <c r="S31" s="212" t="str">
        <f>IF(SandBHQP4[[#This Row],[Salary &amp; Benefits]]&lt;&gt;"",_xlfn.XLOOKUP(SandBHQP4[[#This Row],[HQP Status]],TAccnt[Item],TAccnt[Account Code],"",0,1),"")</f>
        <v/>
      </c>
      <c r="T31" s="212" t="str">
        <f>IF(SandBHQP4[[#This Row],[Salary &amp; Benefits]]&lt;&gt;"","98001","")</f>
        <v/>
      </c>
      <c r="U31" s="213" t="str" cm="1">
        <f t="array" ref="U31">IF(SandBHQP4[[#This Row],[FTE %]]&lt;&gt;"",Indices2Class($E$8,SandBHQP4[[#This Row],[Primary 
Project]]),"")</f>
        <v/>
      </c>
      <c r="V31" s="212" t="str">
        <f>IF(SandBHQP4[[#This Row],[Salary &amp; Benefits]]&lt;&gt;"","305102","")</f>
        <v/>
      </c>
      <c r="W31" s="214" t="str">
        <f>IF(AND(SandBHQP4[[#This Row],[FTE %]]&gt;0,SandBHQP4[[#This Row],[Salary &amp; Benefits]]&lt;&gt;""),ROUND(SandBHQP4[[#This Row],[Salary &amp; Benefits]]*SandBHQP4[[#This Row],[FTE %]]/100,2),"")</f>
        <v/>
      </c>
      <c r="Z31" s="211" t="str">
        <f>IF(Template!$AF31&lt;&gt;"","30000","")</f>
        <v/>
      </c>
      <c r="AA31" s="212" t="str">
        <f>IF(Template!$AF31&lt;&gt;"","11601","")</f>
        <v/>
      </c>
      <c r="AB31" s="212" t="str">
        <f>IF(Template!$AF31&lt;&gt;"",_xlfn.XLOOKUP(SandBHQP4[[#This Row],[HQP Status]],TAccnt[Item],TAccnt[Account Code],"",0,1),"")</f>
        <v/>
      </c>
      <c r="AC31" s="212" t="str">
        <f>IF(Template!$AF31&lt;&gt;"","98001","")</f>
        <v/>
      </c>
      <c r="AD31" s="213" t="str" cm="1">
        <f t="array" ref="AD31">IF(AND(SandBHQP4[[#This Row],[FTE %2]]&gt;0,SandBHQP4[[#This Row],[FTE %2]]&lt;&gt;""),Indices2Class($E$8,SandBHQP4[[#This Row],[Secondary 
Project ]]),"")</f>
        <v/>
      </c>
      <c r="AE31" s="212" t="str">
        <f>IF(Template!$AF31&lt;&gt;"","305102","")</f>
        <v/>
      </c>
      <c r="AF31" s="214" t="str">
        <f>IF(AND(SandBHQP4[[#This Row],[FTE %2]]&gt;0,SandBHQP4[[#This Row],[Salary &amp; Benefits]]&lt;&gt;""),SandBHQP4[[#This Row],[Salary &amp; Benefits]]-W31,"")</f>
        <v/>
      </c>
      <c r="AH31" s="215" t="str">
        <f>IF(SandBHQP4[[#This Row],[Salary &amp; Benefits]]&lt;&gt;"",IF(Template!$W31+IF(Template!$AF31&lt;&gt;"",Template!$AF31,0)=SandBHQP4[[#This Row],[Salary &amp; Benefits]],TRUE,FALSE),"")</f>
        <v/>
      </c>
    </row>
    <row r="32" spans="2:34" ht="15" x14ac:dyDescent="0.2">
      <c r="B32" s="338"/>
      <c r="C32" s="147"/>
      <c r="D32" s="98"/>
      <c r="E32" s="98"/>
      <c r="F32" s="146"/>
      <c r="G32" s="102"/>
      <c r="H32" s="161"/>
      <c r="I32" s="103"/>
      <c r="J32" s="207" t="str">
        <f>IF(SandBHQP4[[#This Row],[FTE %]]&gt;0,100-SandBHQP4[[#This Row],[FTE %]],"")</f>
        <v/>
      </c>
      <c r="K32" s="104"/>
      <c r="Q32" s="208" t="str">
        <f>IF(SandBHQP4[[#This Row],[Salary &amp; Benefits]]&lt;&gt;"","30000","")</f>
        <v/>
      </c>
      <c r="R32" s="185" t="str">
        <f>IF(SandBHQP4[[#This Row],[Salary &amp; Benefits]]&lt;&gt;"","11601","")</f>
        <v/>
      </c>
      <c r="S32" s="185" t="str">
        <f>IF(SandBHQP4[[#This Row],[Salary &amp; Benefits]]&lt;&gt;"",_xlfn.XLOOKUP(SandBHQP4[[#This Row],[HQP Status]],TAccnt[Item],TAccnt[Account Code],"",0,1),"")</f>
        <v/>
      </c>
      <c r="T32" s="185" t="str">
        <f>IF(SandBHQP4[[#This Row],[Salary &amp; Benefits]]&lt;&gt;"","98001","")</f>
        <v/>
      </c>
      <c r="U32" s="1" t="str" cm="1">
        <f t="array" ref="U32">IF(SandBHQP4[[#This Row],[FTE %]]&lt;&gt;"",Indices2Class($E$8,SandBHQP4[[#This Row],[Primary 
Project]]),"")</f>
        <v/>
      </c>
      <c r="V32" s="185" t="str">
        <f>IF(SandBHQP4[[#This Row],[Salary &amp; Benefits]]&lt;&gt;"","305102","")</f>
        <v/>
      </c>
      <c r="W32" s="209" t="str">
        <f>IF(AND(SandBHQP4[[#This Row],[FTE %]]&gt;0,SandBHQP4[[#This Row],[Salary &amp; Benefits]]&lt;&gt;""),ROUND(SandBHQP4[[#This Row],[Salary &amp; Benefits]]*SandBHQP4[[#This Row],[FTE %]]/100,2),"")</f>
        <v/>
      </c>
      <c r="Z32" s="208" t="str">
        <f>IF(Template!$AF32&lt;&gt;"","30000","")</f>
        <v/>
      </c>
      <c r="AA32" s="185" t="str">
        <f>IF(Template!$AF32&lt;&gt;"","11601","")</f>
        <v/>
      </c>
      <c r="AB32" s="185" t="str">
        <f>IF(Template!$AF32&lt;&gt;"",_xlfn.XLOOKUP(SandBHQP4[[#This Row],[HQP Status]],TAccnt[Item],TAccnt[Account Code],"",0,1),"")</f>
        <v/>
      </c>
      <c r="AC32" s="185" t="str">
        <f>IF(Template!$AF32&lt;&gt;"","98001","")</f>
        <v/>
      </c>
      <c r="AD32" s="1" t="str" cm="1">
        <f t="array" ref="AD32">IF(AND(SandBHQP4[[#This Row],[FTE %2]]&gt;0,SandBHQP4[[#This Row],[FTE %2]]&lt;&gt;""),Indices2Class($E$8,SandBHQP4[[#This Row],[Secondary 
Project ]]),"")</f>
        <v/>
      </c>
      <c r="AE32" s="185" t="str">
        <f>IF(Template!$AF32&lt;&gt;"","305102","")</f>
        <v/>
      </c>
      <c r="AF32" s="209" t="str">
        <f>IF(AND(SandBHQP4[[#This Row],[FTE %2]]&gt;0,SandBHQP4[[#This Row],[Salary &amp; Benefits]]&lt;&gt;""),SandBHQP4[[#This Row],[Salary &amp; Benefits]]-W32,"")</f>
        <v/>
      </c>
      <c r="AH32" s="210" t="str">
        <f>IF(SandBHQP4[[#This Row],[Salary &amp; Benefits]]&lt;&gt;"",IF(Template!$W32+IF(Template!$AF32&lt;&gt;"",Template!$AF32,0)=SandBHQP4[[#This Row],[Salary &amp; Benefits]],TRUE,FALSE),"")</f>
        <v/>
      </c>
    </row>
    <row r="33" spans="2:34" ht="15" x14ac:dyDescent="0.2">
      <c r="B33" s="338"/>
      <c r="C33" s="147"/>
      <c r="D33" s="98"/>
      <c r="E33" s="98"/>
      <c r="F33" s="146"/>
      <c r="G33" s="102"/>
      <c r="H33" s="161"/>
      <c r="I33" s="103"/>
      <c r="J33" s="207" t="str">
        <f>IF(SandBHQP4[[#This Row],[FTE %]]&gt;0,100-SandBHQP4[[#This Row],[FTE %]],"")</f>
        <v/>
      </c>
      <c r="K33" s="104"/>
      <c r="Q33" s="211" t="str">
        <f>IF(SandBHQP4[[#This Row],[Salary &amp; Benefits]]&lt;&gt;"","30000","")</f>
        <v/>
      </c>
      <c r="R33" s="212" t="str">
        <f>IF(SandBHQP4[[#This Row],[Salary &amp; Benefits]]&lt;&gt;"","11601","")</f>
        <v/>
      </c>
      <c r="S33" s="212" t="str">
        <f>IF(SandBHQP4[[#This Row],[Salary &amp; Benefits]]&lt;&gt;"",_xlfn.XLOOKUP(SandBHQP4[[#This Row],[HQP Status]],TAccnt[Item],TAccnt[Account Code],"",0,1),"")</f>
        <v/>
      </c>
      <c r="T33" s="212" t="str">
        <f>IF(SandBHQP4[[#This Row],[Salary &amp; Benefits]]&lt;&gt;"","98001","")</f>
        <v/>
      </c>
      <c r="U33" s="213" t="str" cm="1">
        <f t="array" ref="U33">IF(SandBHQP4[[#This Row],[FTE %]]&lt;&gt;"",Indices2Class($E$8,SandBHQP4[[#This Row],[Primary 
Project]]),"")</f>
        <v/>
      </c>
      <c r="V33" s="212" t="str">
        <f>IF(SandBHQP4[[#This Row],[Salary &amp; Benefits]]&lt;&gt;"","305102","")</f>
        <v/>
      </c>
      <c r="W33" s="214" t="str">
        <f>IF(AND(SandBHQP4[[#This Row],[FTE %]]&gt;0,SandBHQP4[[#This Row],[Salary &amp; Benefits]]&lt;&gt;""),ROUND(SandBHQP4[[#This Row],[Salary &amp; Benefits]]*SandBHQP4[[#This Row],[FTE %]]/100,2),"")</f>
        <v/>
      </c>
      <c r="Z33" s="211" t="str">
        <f>IF(Template!$AF33&lt;&gt;"","30000","")</f>
        <v/>
      </c>
      <c r="AA33" s="212" t="str">
        <f>IF(Template!$AF33&lt;&gt;"","11601","")</f>
        <v/>
      </c>
      <c r="AB33" s="212" t="str">
        <f>IF(Template!$AF33&lt;&gt;"",_xlfn.XLOOKUP(SandBHQP4[[#This Row],[HQP Status]],TAccnt[Item],TAccnt[Account Code],"",0,1),"")</f>
        <v/>
      </c>
      <c r="AC33" s="212" t="str">
        <f>IF(Template!$AF33&lt;&gt;"","98001","")</f>
        <v/>
      </c>
      <c r="AD33" s="213" t="str" cm="1">
        <f t="array" ref="AD33">IF(AND(SandBHQP4[[#This Row],[FTE %2]]&gt;0,SandBHQP4[[#This Row],[FTE %2]]&lt;&gt;""),Indices2Class($E$8,SandBHQP4[[#This Row],[Secondary 
Project ]]),"")</f>
        <v/>
      </c>
      <c r="AE33" s="212" t="str">
        <f>IF(Template!$AF33&lt;&gt;"","305102","")</f>
        <v/>
      </c>
      <c r="AF33" s="214" t="str">
        <f>IF(AND(SandBHQP4[[#This Row],[FTE %2]]&gt;0,SandBHQP4[[#This Row],[Salary &amp; Benefits]]&lt;&gt;""),SandBHQP4[[#This Row],[Salary &amp; Benefits]]-W33,"")</f>
        <v/>
      </c>
      <c r="AH33" s="215" t="str">
        <f>IF(SandBHQP4[[#This Row],[Salary &amp; Benefits]]&lt;&gt;"",IF(Template!$W33+IF(Template!$AF33&lt;&gt;"",Template!$AF33,0)=SandBHQP4[[#This Row],[Salary &amp; Benefits]],TRUE,FALSE),"")</f>
        <v/>
      </c>
    </row>
    <row r="34" spans="2:34" ht="15" x14ac:dyDescent="0.2">
      <c r="B34" s="338"/>
      <c r="C34" s="147"/>
      <c r="D34" s="98"/>
      <c r="E34" s="98"/>
      <c r="F34" s="146"/>
      <c r="G34" s="102"/>
      <c r="H34" s="161"/>
      <c r="I34" s="103"/>
      <c r="J34" s="207" t="str">
        <f>IF(SandBHQP4[[#This Row],[FTE %]]&gt;0,100-SandBHQP4[[#This Row],[FTE %]],"")</f>
        <v/>
      </c>
      <c r="K34" s="104"/>
      <c r="Q34" s="208" t="str">
        <f>IF(SandBHQP4[[#This Row],[Salary &amp; Benefits]]&lt;&gt;"","30000","")</f>
        <v/>
      </c>
      <c r="R34" s="185" t="str">
        <f>IF(SandBHQP4[[#This Row],[Salary &amp; Benefits]]&lt;&gt;"","11601","")</f>
        <v/>
      </c>
      <c r="S34" s="185" t="str">
        <f>IF(SandBHQP4[[#This Row],[Salary &amp; Benefits]]&lt;&gt;"",_xlfn.XLOOKUP(SandBHQP4[[#This Row],[HQP Status]],TAccnt[Item],TAccnt[Account Code],"",0,1),"")</f>
        <v/>
      </c>
      <c r="T34" s="185" t="str">
        <f>IF(SandBHQP4[[#This Row],[Salary &amp; Benefits]]&lt;&gt;"","98001","")</f>
        <v/>
      </c>
      <c r="U34" s="1" t="str" cm="1">
        <f t="array" ref="U34">IF(SandBHQP4[[#This Row],[FTE %]]&lt;&gt;"",Indices2Class($E$8,SandBHQP4[[#This Row],[Primary 
Project]]),"")</f>
        <v/>
      </c>
      <c r="V34" s="185" t="str">
        <f>IF(SandBHQP4[[#This Row],[Salary &amp; Benefits]]&lt;&gt;"","305102","")</f>
        <v/>
      </c>
      <c r="W34" s="209" t="str">
        <f>IF(AND(SandBHQP4[[#This Row],[FTE %]]&gt;0,SandBHQP4[[#This Row],[Salary &amp; Benefits]]&lt;&gt;""),ROUND(SandBHQP4[[#This Row],[Salary &amp; Benefits]]*SandBHQP4[[#This Row],[FTE %]]/100,2),"")</f>
        <v/>
      </c>
      <c r="Z34" s="208" t="str">
        <f>IF(Template!$AF34&lt;&gt;"","30000","")</f>
        <v/>
      </c>
      <c r="AA34" s="185" t="str">
        <f>IF(Template!$AF34&lt;&gt;"","11601","")</f>
        <v/>
      </c>
      <c r="AB34" s="185" t="str">
        <f>IF(Template!$AF34&lt;&gt;"",_xlfn.XLOOKUP(SandBHQP4[[#This Row],[HQP Status]],TAccnt[Item],TAccnt[Account Code],"",0,1),"")</f>
        <v/>
      </c>
      <c r="AC34" s="185" t="str">
        <f>IF(Template!$AF34&lt;&gt;"","98001","")</f>
        <v/>
      </c>
      <c r="AD34" s="1" t="str" cm="1">
        <f t="array" ref="AD34">IF(AND(SandBHQP4[[#This Row],[FTE %2]]&gt;0,SandBHQP4[[#This Row],[FTE %2]]&lt;&gt;""),Indices2Class($E$8,SandBHQP4[[#This Row],[Secondary 
Project ]]),"")</f>
        <v/>
      </c>
      <c r="AE34" s="185" t="str">
        <f>IF(Template!$AF34&lt;&gt;"","305102","")</f>
        <v/>
      </c>
      <c r="AF34" s="209" t="str">
        <f>IF(AND(SandBHQP4[[#This Row],[FTE %2]]&gt;0,SandBHQP4[[#This Row],[Salary &amp; Benefits]]&lt;&gt;""),SandBHQP4[[#This Row],[Salary &amp; Benefits]]-W34,"")</f>
        <v/>
      </c>
      <c r="AH34" s="210" t="str">
        <f>IF(SandBHQP4[[#This Row],[Salary &amp; Benefits]]&lt;&gt;"",IF(Template!$W34+IF(Template!$AF34&lt;&gt;"",Template!$AF34,0)=SandBHQP4[[#This Row],[Salary &amp; Benefits]],TRUE,FALSE),"")</f>
        <v/>
      </c>
    </row>
    <row r="35" spans="2:34" ht="15" x14ac:dyDescent="0.2">
      <c r="B35" s="338"/>
      <c r="C35" s="147"/>
      <c r="D35" s="98"/>
      <c r="E35" s="98"/>
      <c r="F35" s="146"/>
      <c r="G35" s="102"/>
      <c r="H35" s="161"/>
      <c r="I35" s="103"/>
      <c r="J35" s="207" t="str">
        <f>IF(SandBHQP4[[#This Row],[FTE %]]&gt;0,100-SandBHQP4[[#This Row],[FTE %]],"")</f>
        <v/>
      </c>
      <c r="K35" s="104"/>
      <c r="Q35" s="211" t="str">
        <f>IF(SandBHQP4[[#This Row],[Salary &amp; Benefits]]&lt;&gt;"","30000","")</f>
        <v/>
      </c>
      <c r="R35" s="212" t="str">
        <f>IF(SandBHQP4[[#This Row],[Salary &amp; Benefits]]&lt;&gt;"","11601","")</f>
        <v/>
      </c>
      <c r="S35" s="212" t="str">
        <f>IF(SandBHQP4[[#This Row],[Salary &amp; Benefits]]&lt;&gt;"",_xlfn.XLOOKUP(SandBHQP4[[#This Row],[HQP Status]],TAccnt[Item],TAccnt[Account Code],"",0,1),"")</f>
        <v/>
      </c>
      <c r="T35" s="212" t="str">
        <f>IF(SandBHQP4[[#This Row],[Salary &amp; Benefits]]&lt;&gt;"","98001","")</f>
        <v/>
      </c>
      <c r="U35" s="213" t="str" cm="1">
        <f t="array" ref="U35">IF(SandBHQP4[[#This Row],[FTE %]]&lt;&gt;"",Indices2Class($E$8,SandBHQP4[[#This Row],[Primary 
Project]]),"")</f>
        <v/>
      </c>
      <c r="V35" s="212" t="str">
        <f>IF(SandBHQP4[[#This Row],[Salary &amp; Benefits]]&lt;&gt;"","305102","")</f>
        <v/>
      </c>
      <c r="W35" s="214" t="str">
        <f>IF(AND(SandBHQP4[[#This Row],[FTE %]]&gt;0,SandBHQP4[[#This Row],[Salary &amp; Benefits]]&lt;&gt;""),ROUND(SandBHQP4[[#This Row],[Salary &amp; Benefits]]*SandBHQP4[[#This Row],[FTE %]]/100,2),"")</f>
        <v/>
      </c>
      <c r="Z35" s="211" t="str">
        <f>IF(Template!$AF35&lt;&gt;"","30000","")</f>
        <v/>
      </c>
      <c r="AA35" s="212" t="str">
        <f>IF(Template!$AF35&lt;&gt;"","11601","")</f>
        <v/>
      </c>
      <c r="AB35" s="212" t="str">
        <f>IF(Template!$AF35&lt;&gt;"",_xlfn.XLOOKUP(SandBHQP4[[#This Row],[HQP Status]],TAccnt[Item],TAccnt[Account Code],"",0,1),"")</f>
        <v/>
      </c>
      <c r="AC35" s="212" t="str">
        <f>IF(Template!$AF35&lt;&gt;"","98001","")</f>
        <v/>
      </c>
      <c r="AD35" s="213" t="str" cm="1">
        <f t="array" ref="AD35">IF(AND(SandBHQP4[[#This Row],[FTE %2]]&gt;0,SandBHQP4[[#This Row],[FTE %2]]&lt;&gt;""),Indices2Class($E$8,SandBHQP4[[#This Row],[Secondary 
Project ]]),"")</f>
        <v/>
      </c>
      <c r="AE35" s="212" t="str">
        <f>IF(Template!$AF35&lt;&gt;"","305102","")</f>
        <v/>
      </c>
      <c r="AF35" s="214" t="str">
        <f>IF(AND(SandBHQP4[[#This Row],[FTE %2]]&gt;0,SandBHQP4[[#This Row],[Salary &amp; Benefits]]&lt;&gt;""),SandBHQP4[[#This Row],[Salary &amp; Benefits]]-W35,"")</f>
        <v/>
      </c>
      <c r="AH35" s="215" t="str">
        <f>IF(SandBHQP4[[#This Row],[Salary &amp; Benefits]]&lt;&gt;"",IF(Template!$W35+IF(Template!$AF35&lt;&gt;"",Template!$AF35,0)=SandBHQP4[[#This Row],[Salary &amp; Benefits]],TRUE,FALSE),"")</f>
        <v/>
      </c>
    </row>
    <row r="36" spans="2:34" ht="15" x14ac:dyDescent="0.2">
      <c r="B36" s="338"/>
      <c r="C36" s="147"/>
      <c r="D36" s="98"/>
      <c r="E36" s="98"/>
      <c r="F36" s="146"/>
      <c r="G36" s="102"/>
      <c r="H36" s="161"/>
      <c r="I36" s="103"/>
      <c r="J36" s="207" t="str">
        <f>IF(SandBHQP4[[#This Row],[FTE %]]&gt;0,100-SandBHQP4[[#This Row],[FTE %]],"")</f>
        <v/>
      </c>
      <c r="K36" s="104"/>
      <c r="Q36" s="208" t="str">
        <f>IF(SandBHQP4[[#This Row],[Salary &amp; Benefits]]&lt;&gt;"","30000","")</f>
        <v/>
      </c>
      <c r="R36" s="185" t="str">
        <f>IF(SandBHQP4[[#This Row],[Salary &amp; Benefits]]&lt;&gt;"","11601","")</f>
        <v/>
      </c>
      <c r="S36" s="185" t="str">
        <f>IF(SandBHQP4[[#This Row],[Salary &amp; Benefits]]&lt;&gt;"",_xlfn.XLOOKUP(SandBHQP4[[#This Row],[HQP Status]],TAccnt[Item],TAccnt[Account Code],"",0,1),"")</f>
        <v/>
      </c>
      <c r="T36" s="185" t="str">
        <f>IF(SandBHQP4[[#This Row],[Salary &amp; Benefits]]&lt;&gt;"","98001","")</f>
        <v/>
      </c>
      <c r="U36" s="1" t="str" cm="1">
        <f t="array" ref="U36">IF(SandBHQP4[[#This Row],[FTE %]]&lt;&gt;"",Indices2Class($E$8,SandBHQP4[[#This Row],[Primary 
Project]]),"")</f>
        <v/>
      </c>
      <c r="V36" s="185" t="str">
        <f>IF(SandBHQP4[[#This Row],[Salary &amp; Benefits]]&lt;&gt;"","305102","")</f>
        <v/>
      </c>
      <c r="W36" s="209" t="str">
        <f>IF(AND(SandBHQP4[[#This Row],[FTE %]]&gt;0,SandBHQP4[[#This Row],[Salary &amp; Benefits]]&lt;&gt;""),ROUND(SandBHQP4[[#This Row],[Salary &amp; Benefits]]*SandBHQP4[[#This Row],[FTE %]]/100,2),"")</f>
        <v/>
      </c>
      <c r="Z36" s="208" t="str">
        <f>IF(Template!$AF36&lt;&gt;"","30000","")</f>
        <v/>
      </c>
      <c r="AA36" s="185" t="str">
        <f>IF(Template!$AF36&lt;&gt;"","11601","")</f>
        <v/>
      </c>
      <c r="AB36" s="185" t="str">
        <f>IF(Template!$AF36&lt;&gt;"",_xlfn.XLOOKUP(SandBHQP4[[#This Row],[HQP Status]],TAccnt[Item],TAccnt[Account Code],"",0,1),"")</f>
        <v/>
      </c>
      <c r="AC36" s="185" t="str">
        <f>IF(Template!$AF36&lt;&gt;"","98001","")</f>
        <v/>
      </c>
      <c r="AD36" s="1" t="str" cm="1">
        <f t="array" ref="AD36">IF(AND(SandBHQP4[[#This Row],[FTE %2]]&gt;0,SandBHQP4[[#This Row],[FTE %2]]&lt;&gt;""),Indices2Class($E$8,SandBHQP4[[#This Row],[Secondary 
Project ]]),"")</f>
        <v/>
      </c>
      <c r="AE36" s="185" t="str">
        <f>IF(Template!$AF36&lt;&gt;"","305102","")</f>
        <v/>
      </c>
      <c r="AF36" s="209" t="str">
        <f>IF(AND(SandBHQP4[[#This Row],[FTE %2]]&gt;0,SandBHQP4[[#This Row],[Salary &amp; Benefits]]&lt;&gt;""),SandBHQP4[[#This Row],[Salary &amp; Benefits]]-W36,"")</f>
        <v/>
      </c>
      <c r="AH36" s="210" t="str">
        <f>IF(SandBHQP4[[#This Row],[Salary &amp; Benefits]]&lt;&gt;"",IF(Template!$W36+IF(Template!$AF36&lt;&gt;"",Template!$AF36,0)=SandBHQP4[[#This Row],[Salary &amp; Benefits]],TRUE,FALSE),"")</f>
        <v/>
      </c>
    </row>
    <row r="37" spans="2:34" ht="16" thickBot="1" x14ac:dyDescent="0.25">
      <c r="B37" s="339"/>
      <c r="C37" s="314" t="s">
        <v>183</v>
      </c>
      <c r="D37" s="315"/>
      <c r="E37" s="315"/>
      <c r="F37" s="316"/>
      <c r="G37" s="317"/>
      <c r="H37" s="318"/>
      <c r="I37" s="319"/>
      <c r="J37" s="216" t="str">
        <f>IF(SandBHQP4[[#This Row],[FTE %]]&gt;0,100-SandBHQP4[[#This Row],[FTE %]],"")</f>
        <v/>
      </c>
      <c r="K37" s="320"/>
      <c r="Q37" s="217" t="str">
        <f>IF(SandBHQP4[[#This Row],[Salary &amp; Benefits]]&lt;&gt;"","30000","")</f>
        <v/>
      </c>
      <c r="R37" s="218" t="str">
        <f>IF(SandBHQP4[[#This Row],[Salary &amp; Benefits]]&lt;&gt;"","11601","")</f>
        <v/>
      </c>
      <c r="S37" s="218" t="str">
        <f>IF(SandBHQP4[[#This Row],[Salary &amp; Benefits]]&lt;&gt;"",_xlfn.XLOOKUP(SandBHQP4[[#This Row],[HQP Status]],TAccnt[Item],TAccnt[Account Code],"",0,1),"")</f>
        <v/>
      </c>
      <c r="T37" s="218" t="str">
        <f>IF(SandBHQP4[[#This Row],[Salary &amp; Benefits]]&lt;&gt;"","98001","")</f>
        <v/>
      </c>
      <c r="U37" s="219" t="str" cm="1">
        <f t="array" ref="U37">IF(SandBHQP4[[#This Row],[FTE %]]&lt;&gt;"",Indices2Class($E$8,SandBHQP4[[#This Row],[Primary 
Project]]),"")</f>
        <v/>
      </c>
      <c r="V37" s="218" t="str">
        <f>IF(SandBHQP4[[#This Row],[Salary &amp; Benefits]]&lt;&gt;"","305102","")</f>
        <v/>
      </c>
      <c r="W37" s="220" t="str">
        <f>IF(AND(SandBHQP4[[#This Row],[FTE %]]&gt;0,SandBHQP4[[#This Row],[Salary &amp; Benefits]]&lt;&gt;""),ROUND(SandBHQP4[[#This Row],[Salary &amp; Benefits]]*SandBHQP4[[#This Row],[FTE %]]/100,2),"")</f>
        <v/>
      </c>
      <c r="Z37" s="217" t="str">
        <f>IF(Template!$AF37&lt;&gt;"","30000","")</f>
        <v/>
      </c>
      <c r="AA37" s="218" t="str">
        <f>IF(Template!$AF37&lt;&gt;"","11601","")</f>
        <v/>
      </c>
      <c r="AB37" s="218" t="str">
        <f>IF(Template!$AF37&lt;&gt;"",_xlfn.XLOOKUP(SandBHQP4[[#This Row],[HQP Status]],TAccnt[Item],TAccnt[Account Code],"",0,1),"")</f>
        <v/>
      </c>
      <c r="AC37" s="218" t="str">
        <f>IF(Template!$AF37&lt;&gt;"","98001","")</f>
        <v/>
      </c>
      <c r="AD37" s="219" t="str" cm="1">
        <f t="array" ref="AD37">IF(AND(SandBHQP4[[#This Row],[FTE %2]]&gt;0,SandBHQP4[[#This Row],[FTE %2]]&lt;&gt;""),Indices2Class($E$8,SandBHQP4[[#This Row],[Secondary 
Project ]]),"")</f>
        <v/>
      </c>
      <c r="AE37" s="218" t="str">
        <f>IF(Template!$AF37&lt;&gt;"","305102","")</f>
        <v/>
      </c>
      <c r="AF37" s="220" t="str">
        <f>IF(AND(SandBHQP4[[#This Row],[FTE %2]]&gt;0,SandBHQP4[[#This Row],[Salary &amp; Benefits]]&lt;&gt;""),SandBHQP4[[#This Row],[Salary &amp; Benefits]]-W37,"")</f>
        <v/>
      </c>
      <c r="AH37" s="221" t="str">
        <f>IF(SandBHQP4[[#This Row],[Salary &amp; Benefits]]&lt;&gt;"",IF(Template!$W37+IF(Template!$AF37&lt;&gt;"",Template!$AF37,0)=SandBHQP4[[#This Row],[Salary &amp; Benefits]],TRUE,FALSE),"")</f>
        <v/>
      </c>
    </row>
    <row r="38" spans="2:34" ht="16" thickTop="1" x14ac:dyDescent="0.2">
      <c r="B38" s="222"/>
      <c r="C38" s="189"/>
      <c r="D38" s="189"/>
      <c r="E38" s="189"/>
      <c r="F38" s="189"/>
      <c r="G38" s="190"/>
      <c r="H38" s="190"/>
      <c r="I38" s="223"/>
      <c r="W38" s="224"/>
    </row>
    <row r="39" spans="2:34" ht="16" thickBot="1" x14ac:dyDescent="0.25">
      <c r="B39" s="1"/>
      <c r="C39" s="193"/>
      <c r="D39" s="189"/>
      <c r="E39" s="189"/>
      <c r="F39" s="189"/>
      <c r="G39" s="190"/>
      <c r="H39" s="190"/>
      <c r="I39" s="190"/>
      <c r="W39" s="224"/>
    </row>
    <row r="40" spans="2:34" s="196" customFormat="1" ht="18" customHeight="1" thickBot="1" x14ac:dyDescent="0.2">
      <c r="B40" s="192"/>
      <c r="D40" s="193"/>
      <c r="E40" s="193"/>
      <c r="F40" s="194"/>
      <c r="G40" s="340" t="s">
        <v>164</v>
      </c>
      <c r="H40" s="341"/>
      <c r="I40" s="341"/>
      <c r="J40" s="341"/>
      <c r="K40" s="342"/>
      <c r="W40" s="225"/>
      <c r="Z40" s="365"/>
      <c r="AA40" s="365"/>
      <c r="AB40" s="365"/>
      <c r="AC40" s="365"/>
      <c r="AD40" s="365"/>
      <c r="AE40" s="365"/>
      <c r="AF40" s="365"/>
    </row>
    <row r="41" spans="2:34" s="196" customFormat="1" ht="28" customHeight="1" thickTop="1" thickBot="1" x14ac:dyDescent="0.2">
      <c r="B41" s="337" t="s">
        <v>184</v>
      </c>
      <c r="C41" s="226" t="s">
        <v>168</v>
      </c>
      <c r="D41" s="227" t="s">
        <v>169</v>
      </c>
      <c r="E41" s="228" t="s">
        <v>185</v>
      </c>
      <c r="F41" s="229" t="s">
        <v>171</v>
      </c>
      <c r="G41" s="230" t="s">
        <v>172</v>
      </c>
      <c r="H41" s="294" t="s">
        <v>173</v>
      </c>
      <c r="I41" s="173" t="s">
        <v>174</v>
      </c>
      <c r="J41" s="294" t="s">
        <v>175</v>
      </c>
      <c r="K41" s="231" t="s">
        <v>77</v>
      </c>
      <c r="Q41" s="197" t="s">
        <v>176</v>
      </c>
      <c r="R41" s="198" t="s">
        <v>177</v>
      </c>
      <c r="S41" s="198" t="s">
        <v>178</v>
      </c>
      <c r="T41" s="198" t="s">
        <v>179</v>
      </c>
      <c r="U41" s="198" t="s">
        <v>180</v>
      </c>
      <c r="V41" s="198" t="s">
        <v>7</v>
      </c>
      <c r="W41" s="199" t="s">
        <v>181</v>
      </c>
      <c r="Z41" s="197" t="s">
        <v>176</v>
      </c>
      <c r="AA41" s="198" t="s">
        <v>177</v>
      </c>
      <c r="AB41" s="198" t="s">
        <v>178</v>
      </c>
      <c r="AC41" s="198" t="s">
        <v>179</v>
      </c>
      <c r="AD41" s="198" t="s">
        <v>180</v>
      </c>
      <c r="AE41" s="198" t="s">
        <v>7</v>
      </c>
      <c r="AF41" s="199" t="s">
        <v>181</v>
      </c>
      <c r="AH41" s="200" t="s">
        <v>182</v>
      </c>
    </row>
    <row r="42" spans="2:34" ht="16" thickTop="1" x14ac:dyDescent="0.2">
      <c r="B42" s="338"/>
      <c r="C42" s="157"/>
      <c r="D42" s="149"/>
      <c r="E42" s="149"/>
      <c r="F42" s="150"/>
      <c r="G42" s="151"/>
      <c r="H42" s="291"/>
      <c r="I42" s="152"/>
      <c r="J42" s="232" t="str">
        <f>IF(SandBTech6[[#This Row],[FTE %]]&gt;0,100-SandBTech6[[#This Row],[FTE %]],"")</f>
        <v/>
      </c>
      <c r="K42" s="153"/>
      <c r="Q42" s="202" t="str">
        <f>IF(SandBTech6[[#This Row],[Salary &amp; Benefits]]&lt;&gt;"","30000","")</f>
        <v/>
      </c>
      <c r="R42" s="203" t="str">
        <f>IF(SandBTech6[[#This Row],[Salary &amp; Benefits]]&lt;&gt;"","11601","")</f>
        <v/>
      </c>
      <c r="S42" s="203" t="str">
        <f>IF(SandBTech6[[#This Row],[Salary &amp; Benefits]]&lt;&gt;"",_xlfn.XLOOKUP(SandBTech6[[#This Row],[Role]],TAccnt[Item],TAccnt[Account Code],"",0,1),"")</f>
        <v/>
      </c>
      <c r="T42" s="203" t="str">
        <f>IF(SandBTech6[[#This Row],[Salary &amp; Benefits]]&lt;&gt;"","98001","")</f>
        <v/>
      </c>
      <c r="U42" s="204" t="str" cm="1">
        <f t="array" ref="U42">IF(SandBTech6[[#This Row],[FTE %]]&lt;&gt;"",Indices2Class($E$8,SandBTech6[[#This Row],[Primary 
Project]]),"")</f>
        <v/>
      </c>
      <c r="V42" s="203" t="str">
        <f>IF(SandBTech6[[#This Row],[Salary &amp; Benefits]]&lt;&gt;"","305102","")</f>
        <v/>
      </c>
      <c r="W42" s="205" t="str">
        <f>IF(AND(SandBTech6[[#This Row],[FTE %]]&gt;0,SandBTech6[[#This Row],[Salary &amp; Benefits]]&lt;&gt;""),ROUND(SandBTech6[[#This Row],[Salary &amp; Benefits]]*SandBTech6[[#This Row],[FTE %]]/100,2),"")</f>
        <v/>
      </c>
      <c r="Z42" s="202" t="str">
        <f>IF(Template!$AF42&lt;&gt;"","30000","")</f>
        <v/>
      </c>
      <c r="AA42" s="203" t="str">
        <f>IF(Template!$AF42&lt;&gt;"","11601","")</f>
        <v/>
      </c>
      <c r="AB42" s="203" t="str">
        <f>IF(Template!$AF42&lt;&gt;"",_xlfn.XLOOKUP(SandBTech6[[#This Row],[Role]],TAccnt[Item],TAccnt[Account Code],"",0,1),"")</f>
        <v/>
      </c>
      <c r="AC42" s="203" t="str">
        <f>IF(Template!$AF42&lt;&gt;"","98001","")</f>
        <v/>
      </c>
      <c r="AD42" s="204" t="str" cm="1">
        <f t="array" ref="AD42">IF(AND(SandBTech6[[#This Row],[FTE %2]]&gt;0,SandBTech6[[#This Row],[FTE %2]]&lt;&gt;""),Indices2Class($E$8,SandBTech6[[#This Row],[Secondary 
Project ]]),"")</f>
        <v/>
      </c>
      <c r="AE42" s="203" t="str">
        <f>IF(Template!$AF42&lt;&gt;"","305102","")</f>
        <v/>
      </c>
      <c r="AF42" s="205" t="str">
        <f>IF(AND(SandBTech6[[#This Row],[FTE %2]]&gt;0,SandBTech6[[#This Row],[Salary &amp; Benefits]]&lt;&gt;""),SandBTech6[[#This Row],[Salary &amp; Benefits]]-W42,"")</f>
        <v/>
      </c>
      <c r="AH42" s="206" t="str">
        <f>IF(SandBTech6[[#This Row],[Salary &amp; Benefits]]&lt;&gt;"",IF(Template!$W42+IF(Template!$AF42&lt;&gt;"",Template!$AF42,0)=SandBTech6[[#This Row],[Salary &amp; Benefits]],TRUE,FALSE),"")</f>
        <v/>
      </c>
    </row>
    <row r="43" spans="2:34" ht="15" x14ac:dyDescent="0.2">
      <c r="B43" s="338"/>
      <c r="C43" s="158"/>
      <c r="D43" s="154"/>
      <c r="E43" s="154"/>
      <c r="F43" s="148"/>
      <c r="G43" s="155"/>
      <c r="H43" s="161"/>
      <c r="I43" s="156"/>
      <c r="J43" s="233" t="str">
        <f>IF(SandBTech6[[#This Row],[FTE %]]&gt;0,100-SandBTech6[[#This Row],[FTE %]],"")</f>
        <v/>
      </c>
      <c r="K43" s="105"/>
      <c r="Q43" s="208" t="str">
        <f>IF(SandBTech6[[#This Row],[Salary &amp; Benefits]]&lt;&gt;"","30000","")</f>
        <v/>
      </c>
      <c r="R43" s="185" t="str">
        <f>IF(SandBTech6[[#This Row],[Salary &amp; Benefits]]&lt;&gt;"","11601","")</f>
        <v/>
      </c>
      <c r="S43" s="185" t="str">
        <f>IF(SandBTech6[[#This Row],[Salary &amp; Benefits]]&lt;&gt;"",_xlfn.XLOOKUP(SandBTech6[[#This Row],[Role]],TAccnt[Item],TAccnt[Account Code],"",0,1),"")</f>
        <v/>
      </c>
      <c r="T43" s="185" t="str">
        <f>IF(SandBTech6[[#This Row],[Salary &amp; Benefits]]&lt;&gt;"","98001","")</f>
        <v/>
      </c>
      <c r="U43" s="1" t="str" cm="1">
        <f t="array" ref="U43">IF(SandBTech6[[#This Row],[FTE %]]&lt;&gt;"",Indices2Class($E$8,SandBTech6[[#This Row],[Primary 
Project]]),"")</f>
        <v/>
      </c>
      <c r="V43" s="185" t="str">
        <f>IF(SandBTech6[[#This Row],[Salary &amp; Benefits]]&lt;&gt;"","305102","")</f>
        <v/>
      </c>
      <c r="W43" s="209" t="str">
        <f>IF(AND(SandBTech6[[#This Row],[FTE %]]&gt;0,SandBTech6[[#This Row],[Salary &amp; Benefits]]&lt;&gt;""),ROUND(SandBTech6[[#This Row],[Salary &amp; Benefits]]*SandBTech6[[#This Row],[FTE %]]/100,2),"")</f>
        <v/>
      </c>
      <c r="Z43" s="208" t="str">
        <f>IF(Template!$AF43&lt;&gt;"","30000","")</f>
        <v/>
      </c>
      <c r="AA43" s="185" t="str">
        <f>IF(Template!$AF43&lt;&gt;"","11601","")</f>
        <v/>
      </c>
      <c r="AB43" s="185" t="str">
        <f>IF(Template!$AF43&lt;&gt;"",_xlfn.XLOOKUP(SandBTech6[[#This Row],[Role]],TAccnt[Item],TAccnt[Account Code],"",0,1),"")</f>
        <v/>
      </c>
      <c r="AC43" s="185" t="str">
        <f>IF(Template!$AF43&lt;&gt;"","98001","")</f>
        <v/>
      </c>
      <c r="AD43" s="1" t="str" cm="1">
        <f t="array" ref="AD43">IF(AND(SandBTech6[[#This Row],[FTE %2]]&gt;0,SandBTech6[[#This Row],[FTE %2]]&lt;&gt;""),Indices2Class($E$8,SandBTech6[[#This Row],[Secondary 
Project ]]),"")</f>
        <v/>
      </c>
      <c r="AE43" s="185" t="str">
        <f>IF(Template!$AF43&lt;&gt;"","305102","")</f>
        <v/>
      </c>
      <c r="AF43" s="209" t="str">
        <f>IF(AND(SandBTech6[[#This Row],[FTE %2]]&gt;0,SandBTech6[[#This Row],[Salary &amp; Benefits]]&lt;&gt;""),SandBTech6[[#This Row],[Salary &amp; Benefits]]-W43,"")</f>
        <v/>
      </c>
      <c r="AH43" s="210" t="str">
        <f>IF(SandBTech6[[#This Row],[Salary &amp; Benefits]]&lt;&gt;"",IF(Template!$W43+IF(Template!$AF43&lt;&gt;"",Template!$AF43,0)=SandBTech6[[#This Row],[Salary &amp; Benefits]],TRUE,FALSE),"")</f>
        <v/>
      </c>
    </row>
    <row r="44" spans="2:34" ht="15" x14ac:dyDescent="0.2">
      <c r="B44" s="338"/>
      <c r="C44" s="158"/>
      <c r="D44" s="154"/>
      <c r="E44" s="154"/>
      <c r="F44" s="148"/>
      <c r="G44" s="155"/>
      <c r="H44" s="161"/>
      <c r="I44" s="156"/>
      <c r="J44" s="233" t="str">
        <f>IF(SandBTech6[[#This Row],[FTE %]]&gt;0,100-SandBTech6[[#This Row],[FTE %]],"")</f>
        <v/>
      </c>
      <c r="K44" s="105"/>
      <c r="Q44" s="211" t="str">
        <f>IF(SandBTech6[[#This Row],[Salary &amp; Benefits]]&lt;&gt;"","30000","")</f>
        <v/>
      </c>
      <c r="R44" s="212" t="str">
        <f>IF(SandBTech6[[#This Row],[Salary &amp; Benefits]]&lt;&gt;"","11601","")</f>
        <v/>
      </c>
      <c r="S44" s="212" t="str">
        <f>IF(SandBTech6[[#This Row],[Salary &amp; Benefits]]&lt;&gt;"",_xlfn.XLOOKUP(SandBTech6[[#This Row],[Role]],TAccnt[Item],TAccnt[Account Code],"",0,1),"")</f>
        <v/>
      </c>
      <c r="T44" s="212" t="str">
        <f>IF(SandBTech6[[#This Row],[Salary &amp; Benefits]]&lt;&gt;"","98001","")</f>
        <v/>
      </c>
      <c r="U44" s="213" t="str" cm="1">
        <f t="array" ref="U44">IF(SandBTech6[[#This Row],[FTE %]]&lt;&gt;"",Indices2Class($E$8,SandBTech6[[#This Row],[Primary 
Project]]),"")</f>
        <v/>
      </c>
      <c r="V44" s="212" t="str">
        <f>IF(SandBTech6[[#This Row],[Salary &amp; Benefits]]&lt;&gt;"","305102","")</f>
        <v/>
      </c>
      <c r="W44" s="214" t="str">
        <f>IF(AND(SandBTech6[[#This Row],[FTE %]]&gt;0,SandBTech6[[#This Row],[Salary &amp; Benefits]]&lt;&gt;""),ROUND(SandBTech6[[#This Row],[Salary &amp; Benefits]]*SandBTech6[[#This Row],[FTE %]]/100,2),"")</f>
        <v/>
      </c>
      <c r="Z44" s="211" t="str">
        <f>IF(Template!$AF44&lt;&gt;"","30000","")</f>
        <v/>
      </c>
      <c r="AA44" s="212" t="str">
        <f>IF(Template!$AF44&lt;&gt;"","11601","")</f>
        <v/>
      </c>
      <c r="AB44" s="212" t="str">
        <f>IF(Template!$AF44&lt;&gt;"",_xlfn.XLOOKUP(SandBTech6[[#This Row],[Role]],TAccnt[Item],TAccnt[Account Code],"",0,1),"")</f>
        <v/>
      </c>
      <c r="AC44" s="212" t="str">
        <f>IF(Template!$AF44&lt;&gt;"","98001","")</f>
        <v/>
      </c>
      <c r="AD44" s="213" t="str" cm="1">
        <f t="array" ref="AD44">IF(AND(SandBTech6[[#This Row],[FTE %2]]&gt;0,SandBTech6[[#This Row],[FTE %2]]&lt;&gt;""),Indices2Class($E$8,SandBTech6[[#This Row],[Secondary 
Project ]]),"")</f>
        <v/>
      </c>
      <c r="AE44" s="212" t="str">
        <f>IF(Template!$AF44&lt;&gt;"","305102","")</f>
        <v/>
      </c>
      <c r="AF44" s="214" t="str">
        <f>IF(AND(SandBTech6[[#This Row],[FTE %2]]&gt;0,SandBTech6[[#This Row],[Salary &amp; Benefits]]&lt;&gt;""),SandBTech6[[#This Row],[Salary &amp; Benefits]]-W44,"")</f>
        <v/>
      </c>
      <c r="AH44" s="215" t="str">
        <f>IF(SandBTech6[[#This Row],[Salary &amp; Benefits]]&lt;&gt;"",IF(Template!$W44+IF(Template!$AF44&lt;&gt;"",Template!$AF44,0)=SandBTech6[[#This Row],[Salary &amp; Benefits]],TRUE,FALSE),"")</f>
        <v/>
      </c>
    </row>
    <row r="45" spans="2:34" ht="15" x14ac:dyDescent="0.2">
      <c r="B45" s="338"/>
      <c r="C45" s="158"/>
      <c r="D45" s="154"/>
      <c r="E45" s="154"/>
      <c r="F45" s="148"/>
      <c r="G45" s="155"/>
      <c r="H45" s="161"/>
      <c r="I45" s="156"/>
      <c r="J45" s="233" t="str">
        <f>IF(SandBTech6[[#This Row],[FTE %]]&gt;0,100-SandBTech6[[#This Row],[FTE %]],"")</f>
        <v/>
      </c>
      <c r="K45" s="105"/>
      <c r="Q45" s="208" t="str">
        <f>IF(SandBTech6[[#This Row],[Salary &amp; Benefits]]&lt;&gt;"","30000","")</f>
        <v/>
      </c>
      <c r="R45" s="185" t="str">
        <f>IF(SandBTech6[[#This Row],[Salary &amp; Benefits]]&lt;&gt;"","11601","")</f>
        <v/>
      </c>
      <c r="S45" s="185" t="str">
        <f>IF(SandBTech6[[#This Row],[Salary &amp; Benefits]]&lt;&gt;"",_xlfn.XLOOKUP(SandBTech6[[#This Row],[Role]],TAccnt[Item],TAccnt[Account Code],"",0,1),"")</f>
        <v/>
      </c>
      <c r="T45" s="185" t="str">
        <f>IF(SandBTech6[[#This Row],[Salary &amp; Benefits]]&lt;&gt;"","98001","")</f>
        <v/>
      </c>
      <c r="U45" s="1" t="str" cm="1">
        <f t="array" ref="U45">IF(SandBTech6[[#This Row],[FTE %]]&lt;&gt;"",Indices2Class($E$8,SandBTech6[[#This Row],[Primary 
Project]]),"")</f>
        <v/>
      </c>
      <c r="V45" s="185" t="str">
        <f>IF(SandBTech6[[#This Row],[Salary &amp; Benefits]]&lt;&gt;"","305102","")</f>
        <v/>
      </c>
      <c r="W45" s="209" t="str">
        <f>IF(AND(SandBTech6[[#This Row],[FTE %]]&gt;0,SandBTech6[[#This Row],[Salary &amp; Benefits]]&lt;&gt;""),ROUND(SandBTech6[[#This Row],[Salary &amp; Benefits]]*SandBTech6[[#This Row],[FTE %]]/100,2),"")</f>
        <v/>
      </c>
      <c r="Z45" s="208" t="str">
        <f>IF(Template!$AF45&lt;&gt;"","30000","")</f>
        <v/>
      </c>
      <c r="AA45" s="185" t="str">
        <f>IF(Template!$AF45&lt;&gt;"","11601","")</f>
        <v/>
      </c>
      <c r="AB45" s="185" t="str">
        <f>IF(Template!$AF45&lt;&gt;"",_xlfn.XLOOKUP(SandBTech6[[#This Row],[Role]],TAccnt[Item],TAccnt[Account Code],"",0,1),"")</f>
        <v/>
      </c>
      <c r="AC45" s="185" t="str">
        <f>IF(Template!$AF45&lt;&gt;"","98001","")</f>
        <v/>
      </c>
      <c r="AD45" s="1" t="str" cm="1">
        <f t="array" ref="AD45">IF(AND(SandBTech6[[#This Row],[FTE %2]]&gt;0,SandBTech6[[#This Row],[FTE %2]]&lt;&gt;""),Indices2Class($E$8,SandBTech6[[#This Row],[Secondary 
Project ]]),"")</f>
        <v/>
      </c>
      <c r="AE45" s="185" t="str">
        <f>IF(Template!$AF45&lt;&gt;"","305102","")</f>
        <v/>
      </c>
      <c r="AF45" s="209" t="str">
        <f>IF(AND(SandBTech6[[#This Row],[FTE %2]]&gt;0,SandBTech6[[#This Row],[Salary &amp; Benefits]]&lt;&gt;""),SandBTech6[[#This Row],[Salary &amp; Benefits]]-W45,"")</f>
        <v/>
      </c>
      <c r="AH45" s="210" t="str">
        <f>IF(SandBTech6[[#This Row],[Salary &amp; Benefits]]&lt;&gt;"",IF(Template!$W45+IF(Template!$AF45&lt;&gt;"",Template!$AF45,0)=SandBTech6[[#This Row],[Salary &amp; Benefits]],TRUE,FALSE),"")</f>
        <v/>
      </c>
    </row>
    <row r="46" spans="2:34" ht="15" x14ac:dyDescent="0.2">
      <c r="B46" s="338"/>
      <c r="C46" s="158"/>
      <c r="D46" s="154"/>
      <c r="E46" s="154"/>
      <c r="F46" s="148"/>
      <c r="G46" s="155"/>
      <c r="H46" s="161"/>
      <c r="I46" s="156"/>
      <c r="J46" s="233" t="str">
        <f>IF(SandBTech6[[#This Row],[FTE %]]&gt;0,100-SandBTech6[[#This Row],[FTE %]],"")</f>
        <v/>
      </c>
      <c r="K46" s="105"/>
      <c r="Q46" s="211" t="str">
        <f>IF(SandBTech6[[#This Row],[Salary &amp; Benefits]]&lt;&gt;"","30000","")</f>
        <v/>
      </c>
      <c r="R46" s="212" t="str">
        <f>IF(SandBTech6[[#This Row],[Salary &amp; Benefits]]&lt;&gt;"","11601","")</f>
        <v/>
      </c>
      <c r="S46" s="212" t="str">
        <f>IF(SandBTech6[[#This Row],[Salary &amp; Benefits]]&lt;&gt;"",_xlfn.XLOOKUP(SandBTech6[[#This Row],[Role]],TAccnt[Item],TAccnt[Account Code],"",0,1),"")</f>
        <v/>
      </c>
      <c r="T46" s="212" t="str">
        <f>IF(SandBTech6[[#This Row],[Salary &amp; Benefits]]&lt;&gt;"","98001","")</f>
        <v/>
      </c>
      <c r="U46" s="213" t="str" cm="1">
        <f t="array" ref="U46">IF(SandBTech6[[#This Row],[FTE %]]&lt;&gt;"",Indices2Class($E$8,SandBTech6[[#This Row],[Primary 
Project]]),"")</f>
        <v/>
      </c>
      <c r="V46" s="212" t="str">
        <f>IF(SandBTech6[[#This Row],[Salary &amp; Benefits]]&lt;&gt;"","305102","")</f>
        <v/>
      </c>
      <c r="W46" s="214" t="str">
        <f>IF(AND(SandBTech6[[#This Row],[FTE %]]&gt;0,SandBTech6[[#This Row],[Salary &amp; Benefits]]&lt;&gt;""),ROUND(SandBTech6[[#This Row],[Salary &amp; Benefits]]*SandBTech6[[#This Row],[FTE %]]/100,2),"")</f>
        <v/>
      </c>
      <c r="Z46" s="211" t="str">
        <f>IF(Template!$AF46&lt;&gt;"","30000","")</f>
        <v/>
      </c>
      <c r="AA46" s="212" t="str">
        <f>IF(Template!$AF46&lt;&gt;"","11601","")</f>
        <v/>
      </c>
      <c r="AB46" s="212" t="str">
        <f>IF(Template!$AF46&lt;&gt;"",_xlfn.XLOOKUP(SandBTech6[[#This Row],[Role]],TAccnt[Item],TAccnt[Account Code],"",0,1),"")</f>
        <v/>
      </c>
      <c r="AC46" s="212" t="str">
        <f>IF(Template!$AF46&lt;&gt;"","98001","")</f>
        <v/>
      </c>
      <c r="AD46" s="213" t="str" cm="1">
        <f t="array" ref="AD46">IF(AND(SandBTech6[[#This Row],[FTE %2]]&gt;0,SandBTech6[[#This Row],[FTE %2]]&lt;&gt;""),Indices2Class($E$8,SandBTech6[[#This Row],[Secondary 
Project ]]),"")</f>
        <v/>
      </c>
      <c r="AE46" s="212" t="str">
        <f>IF(Template!$AF46&lt;&gt;"","305102","")</f>
        <v/>
      </c>
      <c r="AF46" s="214" t="str">
        <f>IF(AND(SandBTech6[[#This Row],[FTE %2]]&gt;0,SandBTech6[[#This Row],[Salary &amp; Benefits]]&lt;&gt;""),SandBTech6[[#This Row],[Salary &amp; Benefits]]-W46,"")</f>
        <v/>
      </c>
      <c r="AH46" s="215" t="str">
        <f>IF(SandBTech6[[#This Row],[Salary &amp; Benefits]]&lt;&gt;"",IF(Template!$W46+IF(Template!$AF46&lt;&gt;"",Template!$AF46,0)=SandBTech6[[#This Row],[Salary &amp; Benefits]],TRUE,FALSE),"")</f>
        <v/>
      </c>
    </row>
    <row r="47" spans="2:34" ht="15" x14ac:dyDescent="0.2">
      <c r="B47" s="338"/>
      <c r="C47" s="158"/>
      <c r="D47" s="154"/>
      <c r="E47" s="154"/>
      <c r="F47" s="148"/>
      <c r="G47" s="155"/>
      <c r="H47" s="161"/>
      <c r="I47" s="156"/>
      <c r="J47" s="233" t="str">
        <f>IF(SandBTech6[[#This Row],[FTE %]]&gt;0,100-SandBTech6[[#This Row],[FTE %]],"")</f>
        <v/>
      </c>
      <c r="K47" s="105"/>
      <c r="Q47" s="208" t="str">
        <f>IF(SandBTech6[[#This Row],[Salary &amp; Benefits]]&lt;&gt;"","30000","")</f>
        <v/>
      </c>
      <c r="R47" s="185" t="str">
        <f>IF(SandBTech6[[#This Row],[Salary &amp; Benefits]]&lt;&gt;"","11601","")</f>
        <v/>
      </c>
      <c r="S47" s="185" t="str">
        <f>IF(SandBTech6[[#This Row],[Salary &amp; Benefits]]&lt;&gt;"",_xlfn.XLOOKUP(SandBTech6[[#This Row],[Role]],TAccnt[Item],TAccnt[Account Code],"",0,1),"")</f>
        <v/>
      </c>
      <c r="T47" s="185" t="str">
        <f>IF(SandBTech6[[#This Row],[Salary &amp; Benefits]]&lt;&gt;"","98001","")</f>
        <v/>
      </c>
      <c r="U47" s="1" t="str" cm="1">
        <f t="array" ref="U47">IF(SandBTech6[[#This Row],[FTE %]]&lt;&gt;"",Indices2Class($E$8,SandBTech6[[#This Row],[Primary 
Project]]),"")</f>
        <v/>
      </c>
      <c r="V47" s="185" t="str">
        <f>IF(SandBTech6[[#This Row],[Salary &amp; Benefits]]&lt;&gt;"","305102","")</f>
        <v/>
      </c>
      <c r="W47" s="209" t="str">
        <f>IF(AND(SandBTech6[[#This Row],[FTE %]]&gt;0,SandBTech6[[#This Row],[Salary &amp; Benefits]]&lt;&gt;""),ROUND(SandBTech6[[#This Row],[Salary &amp; Benefits]]*SandBTech6[[#This Row],[FTE %]]/100,2),"")</f>
        <v/>
      </c>
      <c r="Z47" s="208" t="str">
        <f>IF(Template!$AF47&lt;&gt;"","30000","")</f>
        <v/>
      </c>
      <c r="AA47" s="185" t="str">
        <f>IF(Template!$AF47&lt;&gt;"","11601","")</f>
        <v/>
      </c>
      <c r="AB47" s="185" t="str">
        <f>IF(Template!$AF47&lt;&gt;"",_xlfn.XLOOKUP(SandBTech6[[#This Row],[Role]],TAccnt[Item],TAccnt[Account Code],"",0,1),"")</f>
        <v/>
      </c>
      <c r="AC47" s="185" t="str">
        <f>IF(Template!$AF47&lt;&gt;"","98001","")</f>
        <v/>
      </c>
      <c r="AD47" s="1" t="str" cm="1">
        <f t="array" ref="AD47">IF(AND(SandBTech6[[#This Row],[FTE %2]]&gt;0,SandBTech6[[#This Row],[FTE %2]]&lt;&gt;""),Indices2Class($E$8,SandBTech6[[#This Row],[Secondary 
Project ]]),"")</f>
        <v/>
      </c>
      <c r="AE47" s="185" t="str">
        <f>IF(Template!$AF47&lt;&gt;"","305102","")</f>
        <v/>
      </c>
      <c r="AF47" s="209" t="str">
        <f>IF(AND(SandBTech6[[#This Row],[FTE %2]]&gt;0,SandBTech6[[#This Row],[Salary &amp; Benefits]]&lt;&gt;""),SandBTech6[[#This Row],[Salary &amp; Benefits]]-W47,"")</f>
        <v/>
      </c>
      <c r="AH47" s="210" t="str">
        <f>IF(SandBTech6[[#This Row],[Salary &amp; Benefits]]&lt;&gt;"",IF(Template!$W47+IF(Template!$AF47&lt;&gt;"",Template!$AF47,0)=SandBTech6[[#This Row],[Salary &amp; Benefits]],TRUE,FALSE),"")</f>
        <v/>
      </c>
    </row>
    <row r="48" spans="2:34" ht="15" x14ac:dyDescent="0.2">
      <c r="B48" s="338"/>
      <c r="C48" s="158"/>
      <c r="D48" s="154"/>
      <c r="E48" s="154"/>
      <c r="F48" s="148"/>
      <c r="G48" s="155"/>
      <c r="H48" s="161"/>
      <c r="I48" s="156"/>
      <c r="J48" s="233" t="str">
        <f>IF(SandBTech6[[#This Row],[FTE %]]&gt;0,100-SandBTech6[[#This Row],[FTE %]],"")</f>
        <v/>
      </c>
      <c r="K48" s="105"/>
      <c r="Q48" s="211" t="str">
        <f>IF(SandBTech6[[#This Row],[Salary &amp; Benefits]]&lt;&gt;"","30000","")</f>
        <v/>
      </c>
      <c r="R48" s="212" t="str">
        <f>IF(SandBTech6[[#This Row],[Salary &amp; Benefits]]&lt;&gt;"","11601","")</f>
        <v/>
      </c>
      <c r="S48" s="212" t="str">
        <f>IF(SandBTech6[[#This Row],[Salary &amp; Benefits]]&lt;&gt;"",_xlfn.XLOOKUP(SandBTech6[[#This Row],[Role]],TAccnt[Item],TAccnt[Account Code],"",0,1),"")</f>
        <v/>
      </c>
      <c r="T48" s="212" t="str">
        <f>IF(SandBTech6[[#This Row],[Salary &amp; Benefits]]&lt;&gt;"","98001","")</f>
        <v/>
      </c>
      <c r="U48" s="213" t="str" cm="1">
        <f t="array" ref="U48">IF(SandBTech6[[#This Row],[FTE %]]&lt;&gt;"",Indices2Class($E$8,SandBTech6[[#This Row],[Primary 
Project]]),"")</f>
        <v/>
      </c>
      <c r="V48" s="212" t="str">
        <f>IF(SandBTech6[[#This Row],[Salary &amp; Benefits]]&lt;&gt;"","305102","")</f>
        <v/>
      </c>
      <c r="W48" s="214" t="str">
        <f>IF(AND(SandBTech6[[#This Row],[FTE %]]&gt;0,SandBTech6[[#This Row],[Salary &amp; Benefits]]&lt;&gt;""),ROUND(SandBTech6[[#This Row],[Salary &amp; Benefits]]*SandBTech6[[#This Row],[FTE %]]/100,2),"")</f>
        <v/>
      </c>
      <c r="Z48" s="211" t="str">
        <f>IF(Template!$AF48&lt;&gt;"","30000","")</f>
        <v/>
      </c>
      <c r="AA48" s="212" t="str">
        <f>IF(Template!$AF48&lt;&gt;"","11601","")</f>
        <v/>
      </c>
      <c r="AB48" s="212" t="str">
        <f>IF(Template!$AF48&lt;&gt;"",_xlfn.XLOOKUP(SandBTech6[[#This Row],[Role]],TAccnt[Item],TAccnt[Account Code],"",0,1),"")</f>
        <v/>
      </c>
      <c r="AC48" s="212" t="str">
        <f>IF(Template!$AF48&lt;&gt;"","98001","")</f>
        <v/>
      </c>
      <c r="AD48" s="213" t="str" cm="1">
        <f t="array" ref="AD48">IF(AND(SandBTech6[[#This Row],[FTE %2]]&gt;0,SandBTech6[[#This Row],[FTE %2]]&lt;&gt;""),Indices2Class($E$8,SandBTech6[[#This Row],[Secondary 
Project ]]),"")</f>
        <v/>
      </c>
      <c r="AE48" s="212" t="str">
        <f>IF(Template!$AF48&lt;&gt;"","305102","")</f>
        <v/>
      </c>
      <c r="AF48" s="214" t="str">
        <f>IF(AND(SandBTech6[[#This Row],[FTE %2]]&gt;0,SandBTech6[[#This Row],[Salary &amp; Benefits]]&lt;&gt;""),SandBTech6[[#This Row],[Salary &amp; Benefits]]-W48,"")</f>
        <v/>
      </c>
      <c r="AH48" s="215" t="str">
        <f>IF(SandBTech6[[#This Row],[Salary &amp; Benefits]]&lt;&gt;"",IF(Template!$W48+IF(Template!$AF48&lt;&gt;"",Template!$AF48,0)=SandBTech6[[#This Row],[Salary &amp; Benefits]],TRUE,FALSE),"")</f>
        <v/>
      </c>
    </row>
    <row r="49" spans="2:34" ht="15" x14ac:dyDescent="0.2">
      <c r="B49" s="338"/>
      <c r="C49" s="158"/>
      <c r="D49" s="154"/>
      <c r="E49" s="154"/>
      <c r="F49" s="148"/>
      <c r="G49" s="155"/>
      <c r="H49" s="161"/>
      <c r="I49" s="156"/>
      <c r="J49" s="233" t="str">
        <f>IF(SandBTech6[[#This Row],[FTE %]]&gt;0,100-SandBTech6[[#This Row],[FTE %]],"")</f>
        <v/>
      </c>
      <c r="K49" s="105"/>
      <c r="Q49" s="208" t="str">
        <f>IF(SandBTech6[[#This Row],[Salary &amp; Benefits]]&lt;&gt;"","30000","")</f>
        <v/>
      </c>
      <c r="R49" s="185" t="str">
        <f>IF(SandBTech6[[#This Row],[Salary &amp; Benefits]]&lt;&gt;"","11601","")</f>
        <v/>
      </c>
      <c r="S49" s="185" t="str">
        <f>IF(SandBTech6[[#This Row],[Salary &amp; Benefits]]&lt;&gt;"",_xlfn.XLOOKUP(SandBTech6[[#This Row],[Role]],TAccnt[Item],TAccnt[Account Code],"",0,1),"")</f>
        <v/>
      </c>
      <c r="T49" s="185" t="str">
        <f>IF(SandBTech6[[#This Row],[Salary &amp; Benefits]]&lt;&gt;"","98001","")</f>
        <v/>
      </c>
      <c r="U49" s="1" t="str" cm="1">
        <f t="array" ref="U49">IF(SandBTech6[[#This Row],[FTE %]]&lt;&gt;"",Indices2Class($E$8,SandBTech6[[#This Row],[Primary 
Project]]),"")</f>
        <v/>
      </c>
      <c r="V49" s="185" t="str">
        <f>IF(SandBTech6[[#This Row],[Salary &amp; Benefits]]&lt;&gt;"","305102","")</f>
        <v/>
      </c>
      <c r="W49" s="209" t="str">
        <f>IF(AND(SandBTech6[[#This Row],[FTE %]]&gt;0,SandBTech6[[#This Row],[Salary &amp; Benefits]]&lt;&gt;""),ROUND(SandBTech6[[#This Row],[Salary &amp; Benefits]]*SandBTech6[[#This Row],[FTE %]]/100,2),"")</f>
        <v/>
      </c>
      <c r="Z49" s="208" t="str">
        <f>IF(Template!$AF49&lt;&gt;"","30000","")</f>
        <v/>
      </c>
      <c r="AA49" s="185" t="str">
        <f>IF(Template!$AF49&lt;&gt;"","11601","")</f>
        <v/>
      </c>
      <c r="AB49" s="185" t="str">
        <f>IF(Template!$AF49&lt;&gt;"",_xlfn.XLOOKUP(SandBTech6[[#This Row],[Role]],TAccnt[Item],TAccnt[Account Code],"",0,1),"")</f>
        <v/>
      </c>
      <c r="AC49" s="185" t="str">
        <f>IF(Template!$AF49&lt;&gt;"","98001","")</f>
        <v/>
      </c>
      <c r="AD49" s="1" t="str" cm="1">
        <f t="array" ref="AD49">IF(AND(SandBTech6[[#This Row],[FTE %2]]&gt;0,SandBTech6[[#This Row],[FTE %2]]&lt;&gt;""),Indices2Class($E$8,SandBTech6[[#This Row],[Secondary 
Project ]]),"")</f>
        <v/>
      </c>
      <c r="AE49" s="185" t="str">
        <f>IF(Template!$AF49&lt;&gt;"","305102","")</f>
        <v/>
      </c>
      <c r="AF49" s="209" t="str">
        <f>IF(AND(SandBTech6[[#This Row],[FTE %2]]&gt;0,SandBTech6[[#This Row],[Salary &amp; Benefits]]&lt;&gt;""),SandBTech6[[#This Row],[Salary &amp; Benefits]]-W49,"")</f>
        <v/>
      </c>
      <c r="AH49" s="210" t="str">
        <f>IF(SandBTech6[[#This Row],[Salary &amp; Benefits]]&lt;&gt;"",IF(Template!$W49+IF(Template!$AF49&lt;&gt;"",Template!$AF49,0)=SandBTech6[[#This Row],[Salary &amp; Benefits]],TRUE,FALSE),"")</f>
        <v/>
      </c>
    </row>
    <row r="50" spans="2:34" ht="15" x14ac:dyDescent="0.2">
      <c r="B50" s="338"/>
      <c r="C50" s="158"/>
      <c r="D50" s="154"/>
      <c r="E50" s="154"/>
      <c r="F50" s="148"/>
      <c r="G50" s="155"/>
      <c r="H50" s="161"/>
      <c r="I50" s="156"/>
      <c r="J50" s="233" t="str">
        <f>IF(SandBTech6[[#This Row],[FTE %]]&gt;0,100-SandBTech6[[#This Row],[FTE %]],"")</f>
        <v/>
      </c>
      <c r="K50" s="105"/>
      <c r="Q50" s="211" t="str">
        <f>IF(SandBTech6[[#This Row],[Salary &amp; Benefits]]&lt;&gt;"","30000","")</f>
        <v/>
      </c>
      <c r="R50" s="212" t="str">
        <f>IF(SandBTech6[[#This Row],[Salary &amp; Benefits]]&lt;&gt;"","11601","")</f>
        <v/>
      </c>
      <c r="S50" s="212" t="str">
        <f>IF(SandBTech6[[#This Row],[Salary &amp; Benefits]]&lt;&gt;"",_xlfn.XLOOKUP(SandBTech6[[#This Row],[Role]],TAccnt[Item],TAccnt[Account Code],"",0,1),"")</f>
        <v/>
      </c>
      <c r="T50" s="212" t="str">
        <f>IF(SandBTech6[[#This Row],[Salary &amp; Benefits]]&lt;&gt;"","98001","")</f>
        <v/>
      </c>
      <c r="U50" s="213" t="str" cm="1">
        <f t="array" ref="U50">IF(SandBTech6[[#This Row],[FTE %]]&lt;&gt;"",Indices2Class($E$8,SandBTech6[[#This Row],[Primary 
Project]]),"")</f>
        <v/>
      </c>
      <c r="V50" s="212" t="str">
        <f>IF(SandBTech6[[#This Row],[Salary &amp; Benefits]]&lt;&gt;"","305102","")</f>
        <v/>
      </c>
      <c r="W50" s="214" t="str">
        <f>IF(AND(SandBTech6[[#This Row],[FTE %]]&gt;0,SandBTech6[[#This Row],[Salary &amp; Benefits]]&lt;&gt;""),ROUND(SandBTech6[[#This Row],[Salary &amp; Benefits]]*SandBTech6[[#This Row],[FTE %]]/100,2),"")</f>
        <v/>
      </c>
      <c r="Z50" s="211" t="str">
        <f>IF(Template!$AF50&lt;&gt;"","30000","")</f>
        <v/>
      </c>
      <c r="AA50" s="212" t="str">
        <f>IF(Template!$AF50&lt;&gt;"","11601","")</f>
        <v/>
      </c>
      <c r="AB50" s="212" t="str">
        <f>IF(Template!$AF50&lt;&gt;"",_xlfn.XLOOKUP(SandBTech6[[#This Row],[Role]],TAccnt[Item],TAccnt[Account Code],"",0,1),"")</f>
        <v/>
      </c>
      <c r="AC50" s="212" t="str">
        <f>IF(Template!$AF50&lt;&gt;"","98001","")</f>
        <v/>
      </c>
      <c r="AD50" s="213" t="str" cm="1">
        <f t="array" ref="AD50">IF(AND(SandBTech6[[#This Row],[FTE %2]]&gt;0,SandBTech6[[#This Row],[FTE %2]]&lt;&gt;""),Indices2Class($E$8,SandBTech6[[#This Row],[Secondary 
Project ]]),"")</f>
        <v/>
      </c>
      <c r="AE50" s="212" t="str">
        <f>IF(Template!$AF50&lt;&gt;"","305102","")</f>
        <v/>
      </c>
      <c r="AF50" s="214" t="str">
        <f>IF(AND(SandBTech6[[#This Row],[FTE %2]]&gt;0,SandBTech6[[#This Row],[Salary &amp; Benefits]]&lt;&gt;""),SandBTech6[[#This Row],[Salary &amp; Benefits]]-W50,"")</f>
        <v/>
      </c>
      <c r="AH50" s="215" t="str">
        <f>IF(SandBTech6[[#This Row],[Salary &amp; Benefits]]&lt;&gt;"",IF(Template!$W50+IF(Template!$AF50&lt;&gt;"",Template!$AF50,0)=SandBTech6[[#This Row],[Salary &amp; Benefits]],TRUE,FALSE),"")</f>
        <v/>
      </c>
    </row>
    <row r="51" spans="2:34" ht="15" x14ac:dyDescent="0.2">
      <c r="B51" s="338"/>
      <c r="C51" s="158"/>
      <c r="D51" s="154"/>
      <c r="E51" s="154"/>
      <c r="F51" s="148"/>
      <c r="G51" s="155"/>
      <c r="H51" s="161"/>
      <c r="I51" s="156"/>
      <c r="J51" s="233" t="str">
        <f>IF(SandBTech6[[#This Row],[FTE %]]&gt;0,100-SandBTech6[[#This Row],[FTE %]],"")</f>
        <v/>
      </c>
      <c r="K51" s="105"/>
      <c r="Q51" s="208" t="str">
        <f>IF(SandBTech6[[#This Row],[Salary &amp; Benefits]]&lt;&gt;"","30000","")</f>
        <v/>
      </c>
      <c r="R51" s="185" t="str">
        <f>IF(SandBTech6[[#This Row],[Salary &amp; Benefits]]&lt;&gt;"","11601","")</f>
        <v/>
      </c>
      <c r="S51" s="185" t="str">
        <f>IF(SandBTech6[[#This Row],[Salary &amp; Benefits]]&lt;&gt;"",_xlfn.XLOOKUP(SandBTech6[[#This Row],[Role]],TAccnt[Item],TAccnt[Account Code],"",0,1),"")</f>
        <v/>
      </c>
      <c r="T51" s="185" t="str">
        <f>IF(SandBTech6[[#This Row],[Salary &amp; Benefits]]&lt;&gt;"","98001","")</f>
        <v/>
      </c>
      <c r="U51" s="1" t="str" cm="1">
        <f t="array" ref="U51">IF(SandBTech6[[#This Row],[FTE %]]&lt;&gt;"",Indices2Class($E$8,SandBTech6[[#This Row],[Primary 
Project]]),"")</f>
        <v/>
      </c>
      <c r="V51" s="185" t="str">
        <f>IF(SandBTech6[[#This Row],[Salary &amp; Benefits]]&lt;&gt;"","305102","")</f>
        <v/>
      </c>
      <c r="W51" s="209" t="str">
        <f>IF(AND(SandBTech6[[#This Row],[FTE %]]&gt;0,SandBTech6[[#This Row],[Salary &amp; Benefits]]&lt;&gt;""),ROUND(SandBTech6[[#This Row],[Salary &amp; Benefits]]*SandBTech6[[#This Row],[FTE %]]/100,2),"")</f>
        <v/>
      </c>
      <c r="Z51" s="208" t="str">
        <f>IF(Template!$AF51&lt;&gt;"","30000","")</f>
        <v/>
      </c>
      <c r="AA51" s="185" t="str">
        <f>IF(Template!$AF51&lt;&gt;"","11601","")</f>
        <v/>
      </c>
      <c r="AB51" s="185" t="str">
        <f>IF(Template!$AF51&lt;&gt;"",_xlfn.XLOOKUP(SandBTech6[[#This Row],[Role]],TAccnt[Item],TAccnt[Account Code],"",0,1),"")</f>
        <v/>
      </c>
      <c r="AC51" s="185" t="str">
        <f>IF(Template!$AF51&lt;&gt;"","98001","")</f>
        <v/>
      </c>
      <c r="AD51" s="1" t="str" cm="1">
        <f t="array" ref="AD51">IF(AND(SandBTech6[[#This Row],[FTE %2]]&gt;0,SandBTech6[[#This Row],[FTE %2]]&lt;&gt;""),Indices2Class($E$8,SandBTech6[[#This Row],[Secondary 
Project ]]),"")</f>
        <v/>
      </c>
      <c r="AE51" s="185" t="str">
        <f>IF(Template!$AF51&lt;&gt;"","305102","")</f>
        <v/>
      </c>
      <c r="AF51" s="209" t="str">
        <f>IF(AND(SandBTech6[[#This Row],[FTE %2]]&gt;0,SandBTech6[[#This Row],[Salary &amp; Benefits]]&lt;&gt;""),SandBTech6[[#This Row],[Salary &amp; Benefits]]-W51,"")</f>
        <v/>
      </c>
      <c r="AH51" s="210" t="str">
        <f>IF(SandBTech6[[#This Row],[Salary &amp; Benefits]]&lt;&gt;"",IF(Template!$W51+IF(Template!$AF51&lt;&gt;"",Template!$AF51,0)=SandBTech6[[#This Row],[Salary &amp; Benefits]],TRUE,FALSE),"")</f>
        <v/>
      </c>
    </row>
    <row r="52" spans="2:34" ht="15" x14ac:dyDescent="0.2">
      <c r="B52" s="338"/>
      <c r="C52" s="158"/>
      <c r="D52" s="154"/>
      <c r="E52" s="154"/>
      <c r="F52" s="148"/>
      <c r="G52" s="155"/>
      <c r="H52" s="161"/>
      <c r="I52" s="156"/>
      <c r="J52" s="233" t="str">
        <f>IF(SandBTech6[[#This Row],[FTE %]]&gt;0,100-SandBTech6[[#This Row],[FTE %]],"")</f>
        <v/>
      </c>
      <c r="K52" s="105"/>
      <c r="Q52" s="211" t="str">
        <f>IF(SandBTech6[[#This Row],[Salary &amp; Benefits]]&lt;&gt;"","30000","")</f>
        <v/>
      </c>
      <c r="R52" s="212" t="str">
        <f>IF(SandBTech6[[#This Row],[Salary &amp; Benefits]]&lt;&gt;"","11601","")</f>
        <v/>
      </c>
      <c r="S52" s="212" t="str">
        <f>IF(SandBTech6[[#This Row],[Salary &amp; Benefits]]&lt;&gt;"",_xlfn.XLOOKUP(SandBTech6[[#This Row],[Role]],TAccnt[Item],TAccnt[Account Code],"",0,1),"")</f>
        <v/>
      </c>
      <c r="T52" s="212" t="str">
        <f>IF(SandBTech6[[#This Row],[Salary &amp; Benefits]]&lt;&gt;"","98001","")</f>
        <v/>
      </c>
      <c r="U52" s="213" t="str" cm="1">
        <f t="array" ref="U52">IF(SandBTech6[[#This Row],[FTE %]]&lt;&gt;"",Indices2Class($E$8,SandBTech6[[#This Row],[Primary 
Project]]),"")</f>
        <v/>
      </c>
      <c r="V52" s="212" t="str">
        <f>IF(SandBTech6[[#This Row],[Salary &amp; Benefits]]&lt;&gt;"","305102","")</f>
        <v/>
      </c>
      <c r="W52" s="214" t="str">
        <f>IF(AND(SandBTech6[[#This Row],[FTE %]]&gt;0,SandBTech6[[#This Row],[Salary &amp; Benefits]]&lt;&gt;""),ROUND(SandBTech6[[#This Row],[Salary &amp; Benefits]]*SandBTech6[[#This Row],[FTE %]]/100,2),"")</f>
        <v/>
      </c>
      <c r="Z52" s="211" t="str">
        <f>IF(Template!$AF52&lt;&gt;"","30000","")</f>
        <v/>
      </c>
      <c r="AA52" s="212" t="str">
        <f>IF(Template!$AF52&lt;&gt;"","11601","")</f>
        <v/>
      </c>
      <c r="AB52" s="212" t="str">
        <f>IF(Template!$AF52&lt;&gt;"",_xlfn.XLOOKUP(SandBTech6[[#This Row],[Role]],TAccnt[Item],TAccnt[Account Code],"",0,1),"")</f>
        <v/>
      </c>
      <c r="AC52" s="212" t="str">
        <f>IF(Template!$AF52&lt;&gt;"","98001","")</f>
        <v/>
      </c>
      <c r="AD52" s="213" t="str" cm="1">
        <f t="array" ref="AD52">IF(AND(SandBTech6[[#This Row],[FTE %2]]&gt;0,SandBTech6[[#This Row],[FTE %2]]&lt;&gt;""),Indices2Class($E$8,SandBTech6[[#This Row],[Secondary 
Project ]]),"")</f>
        <v/>
      </c>
      <c r="AE52" s="212" t="str">
        <f>IF(Template!$AF52&lt;&gt;"","305102","")</f>
        <v/>
      </c>
      <c r="AF52" s="214" t="str">
        <f>IF(AND(SandBTech6[[#This Row],[FTE %2]]&gt;0,SandBTech6[[#This Row],[Salary &amp; Benefits]]&lt;&gt;""),SandBTech6[[#This Row],[Salary &amp; Benefits]]-W52,"")</f>
        <v/>
      </c>
      <c r="AH52" s="215" t="str">
        <f>IF(SandBTech6[[#This Row],[Salary &amp; Benefits]]&lt;&gt;"",IF(Template!$W52+IF(Template!$AF52&lt;&gt;"",Template!$AF52,0)=SandBTech6[[#This Row],[Salary &amp; Benefits]],TRUE,FALSE),"")</f>
        <v/>
      </c>
    </row>
    <row r="53" spans="2:34" ht="15" x14ac:dyDescent="0.2">
      <c r="B53" s="338"/>
      <c r="C53" s="158"/>
      <c r="D53" s="154"/>
      <c r="E53" s="154"/>
      <c r="F53" s="148"/>
      <c r="G53" s="155"/>
      <c r="H53" s="161"/>
      <c r="I53" s="156"/>
      <c r="J53" s="233" t="str">
        <f>IF(SandBTech6[[#This Row],[FTE %]]&gt;0,100-SandBTech6[[#This Row],[FTE %]],"")</f>
        <v/>
      </c>
      <c r="K53" s="105"/>
      <c r="Q53" s="208" t="str">
        <f>IF(SandBTech6[[#This Row],[Salary &amp; Benefits]]&lt;&gt;"","30000","")</f>
        <v/>
      </c>
      <c r="R53" s="185" t="str">
        <f>IF(SandBTech6[[#This Row],[Salary &amp; Benefits]]&lt;&gt;"","11601","")</f>
        <v/>
      </c>
      <c r="S53" s="185" t="str">
        <f>IF(SandBTech6[[#This Row],[Salary &amp; Benefits]]&lt;&gt;"",_xlfn.XLOOKUP(SandBTech6[[#This Row],[Role]],TAccnt[Item],TAccnt[Account Code],"",0,1),"")</f>
        <v/>
      </c>
      <c r="T53" s="185" t="str">
        <f>IF(SandBTech6[[#This Row],[Salary &amp; Benefits]]&lt;&gt;"","98001","")</f>
        <v/>
      </c>
      <c r="U53" s="1" t="str" cm="1">
        <f t="array" ref="U53">IF(SandBTech6[[#This Row],[FTE %]]&lt;&gt;"",Indices2Class($E$8,SandBTech6[[#This Row],[Primary 
Project]]),"")</f>
        <v/>
      </c>
      <c r="V53" s="185" t="str">
        <f>IF(SandBTech6[[#This Row],[Salary &amp; Benefits]]&lt;&gt;"","305102","")</f>
        <v/>
      </c>
      <c r="W53" s="209" t="str">
        <f>IF(AND(SandBTech6[[#This Row],[FTE %]]&gt;0,SandBTech6[[#This Row],[Salary &amp; Benefits]]&lt;&gt;""),ROUND(SandBTech6[[#This Row],[Salary &amp; Benefits]]*SandBTech6[[#This Row],[FTE %]]/100,2),"")</f>
        <v/>
      </c>
      <c r="Z53" s="208" t="str">
        <f>IF(Template!$AF53&lt;&gt;"","30000","")</f>
        <v/>
      </c>
      <c r="AA53" s="185" t="str">
        <f>IF(Template!$AF53&lt;&gt;"","11601","")</f>
        <v/>
      </c>
      <c r="AB53" s="185" t="str">
        <f>IF(Template!$AF53&lt;&gt;"",_xlfn.XLOOKUP(SandBTech6[[#This Row],[Role]],TAccnt[Item],TAccnt[Account Code],"",0,1),"")</f>
        <v/>
      </c>
      <c r="AC53" s="185" t="str">
        <f>IF(Template!$AF53&lt;&gt;"","98001","")</f>
        <v/>
      </c>
      <c r="AD53" s="1" t="str" cm="1">
        <f t="array" ref="AD53">IF(AND(SandBTech6[[#This Row],[FTE %2]]&gt;0,SandBTech6[[#This Row],[FTE %2]]&lt;&gt;""),Indices2Class($E$8,SandBTech6[[#This Row],[Secondary 
Project ]]),"")</f>
        <v/>
      </c>
      <c r="AE53" s="185" t="str">
        <f>IF(Template!$AF53&lt;&gt;"","305102","")</f>
        <v/>
      </c>
      <c r="AF53" s="209" t="str">
        <f>IF(AND(SandBTech6[[#This Row],[FTE %2]]&gt;0,SandBTech6[[#This Row],[Salary &amp; Benefits]]&lt;&gt;""),SandBTech6[[#This Row],[Salary &amp; Benefits]]-W53,"")</f>
        <v/>
      </c>
      <c r="AH53" s="210" t="str">
        <f>IF(SandBTech6[[#This Row],[Salary &amp; Benefits]]&lt;&gt;"",IF(Template!$W53+IF(Template!$AF53&lt;&gt;"",Template!$AF53,0)=SandBTech6[[#This Row],[Salary &amp; Benefits]],TRUE,FALSE),"")</f>
        <v/>
      </c>
    </row>
    <row r="54" spans="2:34" ht="16" thickBot="1" x14ac:dyDescent="0.25">
      <c r="B54" s="339"/>
      <c r="C54" s="321" t="s">
        <v>183</v>
      </c>
      <c r="D54" s="322"/>
      <c r="E54" s="322"/>
      <c r="F54" s="323"/>
      <c r="G54" s="324"/>
      <c r="H54" s="325"/>
      <c r="I54" s="326"/>
      <c r="J54" s="234" t="str">
        <f>IF(SandBTech6[[#This Row],[FTE %]]&gt;0,100-SandBTech6[[#This Row],[FTE %]],"")</f>
        <v/>
      </c>
      <c r="K54" s="327"/>
      <c r="Q54" s="235" t="str">
        <f>IF(SandBTech6[[#This Row],[Salary &amp; Benefits]]&lt;&gt;"","30000","")</f>
        <v/>
      </c>
      <c r="R54" s="236" t="str">
        <f>IF(SandBTech6[[#This Row],[Salary &amp; Benefits]]&lt;&gt;"","11601","")</f>
        <v/>
      </c>
      <c r="S54" s="236" t="str">
        <f>IF(SandBTech6[[#This Row],[Salary &amp; Benefits]]&lt;&gt;"",_xlfn.XLOOKUP(SandBTech6[[#This Row],[Role]],TAccnt[Item],TAccnt[Account Code],"",0,1),"")</f>
        <v/>
      </c>
      <c r="T54" s="236" t="str">
        <f>IF(SandBTech6[[#This Row],[Salary &amp; Benefits]]&lt;&gt;"","98001","")</f>
        <v/>
      </c>
      <c r="U54" s="237" t="str" cm="1">
        <f t="array" ref="U54">IF(SandBTech6[[#This Row],[FTE %]]&lt;&gt;"",Indices2Class($E$8,SandBTech6[[#This Row],[Primary 
Project]]),"")</f>
        <v/>
      </c>
      <c r="V54" s="236" t="str">
        <f>IF(SandBTech6[[#This Row],[Salary &amp; Benefits]]&lt;&gt;"","305102","")</f>
        <v/>
      </c>
      <c r="W54" s="238" t="str">
        <f>IF(AND(SandBTech6[[#This Row],[FTE %]]&gt;0,SandBTech6[[#This Row],[Salary &amp; Benefits]]&lt;&gt;""),ROUND(SandBTech6[[#This Row],[Salary &amp; Benefits]]*SandBTech6[[#This Row],[FTE %]]/100,2),"")</f>
        <v/>
      </c>
      <c r="Z54" s="235" t="str">
        <f>IF(Template!$AF54&lt;&gt;"","30000","")</f>
        <v/>
      </c>
      <c r="AA54" s="236" t="str">
        <f>IF(Template!$AF54&lt;&gt;"","11601","")</f>
        <v/>
      </c>
      <c r="AB54" s="236" t="str">
        <f>IF(Template!$AF54&lt;&gt;"",_xlfn.XLOOKUP(SandBTech6[[#This Row],[Role]],TAccnt[Item],TAccnt[Account Code],"",0,1),"")</f>
        <v/>
      </c>
      <c r="AC54" s="236" t="str">
        <f>IF(Template!$AF54&lt;&gt;"","98001","")</f>
        <v/>
      </c>
      <c r="AD54" s="237" t="str" cm="1">
        <f t="array" ref="AD54">IF(AND(SandBTech6[[#This Row],[FTE %2]]&gt;0,SandBTech6[[#This Row],[FTE %2]]&lt;&gt;""),Indices2Class($E$8,SandBTech6[[#This Row],[Secondary 
Project ]]),"")</f>
        <v/>
      </c>
      <c r="AE54" s="236" t="str">
        <f>IF(Template!$AF54&lt;&gt;"","305102","")</f>
        <v/>
      </c>
      <c r="AF54" s="238" t="str">
        <f>IF(AND(SandBTech6[[#This Row],[FTE %2]]&gt;0,SandBTech6[[#This Row],[Salary &amp; Benefits]]&lt;&gt;""),SandBTech6[[#This Row],[Salary &amp; Benefits]]-W54,"")</f>
        <v/>
      </c>
      <c r="AH54" s="239" t="str">
        <f>IF(SandBTech6[[#This Row],[Salary &amp; Benefits]]&lt;&gt;"",IF(Template!$W54+IF(Template!$AF54&lt;&gt;"",Template!$AF54,0)=SandBTech6[[#This Row],[Salary &amp; Benefits]],TRUE,FALSE),"")</f>
        <v/>
      </c>
    </row>
    <row r="55" spans="2:34" ht="16" thickTop="1" x14ac:dyDescent="0.2">
      <c r="B55" s="222"/>
      <c r="C55" s="189"/>
      <c r="D55" s="189"/>
      <c r="E55" s="189"/>
      <c r="F55" s="240"/>
      <c r="G55" s="190"/>
      <c r="H55" s="190"/>
      <c r="I55" s="223"/>
      <c r="K55" s="190"/>
      <c r="L55" s="190"/>
      <c r="M55" s="190"/>
      <c r="N55" s="190"/>
      <c r="O55" s="190"/>
      <c r="W55" s="224"/>
    </row>
    <row r="56" spans="2:34" ht="16" thickBot="1" x14ac:dyDescent="0.25">
      <c r="B56" s="1"/>
      <c r="C56" s="189"/>
      <c r="D56" s="189"/>
      <c r="E56" s="189"/>
      <c r="F56" s="189"/>
      <c r="G56" s="190"/>
      <c r="H56" s="190"/>
      <c r="I56" s="190"/>
      <c r="K56" s="190"/>
      <c r="L56" s="190"/>
      <c r="M56" s="190"/>
      <c r="N56" s="190"/>
      <c r="O56" s="190"/>
      <c r="W56" s="224"/>
    </row>
    <row r="57" spans="2:34" s="196" customFormat="1" ht="29" customHeight="1" thickBot="1" x14ac:dyDescent="0.2">
      <c r="B57" s="337" t="s">
        <v>186</v>
      </c>
      <c r="C57" s="241" t="s">
        <v>168</v>
      </c>
      <c r="D57" s="181" t="s">
        <v>169</v>
      </c>
      <c r="E57" s="182" t="s">
        <v>185</v>
      </c>
      <c r="F57" s="169" t="s">
        <v>171</v>
      </c>
      <c r="G57" s="74"/>
      <c r="H57" s="242"/>
      <c r="I57" s="74"/>
      <c r="J57" s="74"/>
      <c r="K57" s="74"/>
      <c r="L57" s="242"/>
      <c r="M57" s="242"/>
      <c r="N57" s="242"/>
      <c r="O57" s="242"/>
      <c r="Q57" s="197" t="s">
        <v>176</v>
      </c>
      <c r="R57" s="198" t="s">
        <v>177</v>
      </c>
      <c r="S57" s="198" t="s">
        <v>178</v>
      </c>
      <c r="T57" s="198" t="s">
        <v>179</v>
      </c>
      <c r="U57" s="198" t="s">
        <v>180</v>
      </c>
      <c r="V57" s="198" t="s">
        <v>7</v>
      </c>
      <c r="W57" s="199" t="s">
        <v>181</v>
      </c>
      <c r="AH57"/>
    </row>
    <row r="58" spans="2:34" ht="16" thickTop="1" x14ac:dyDescent="0.2">
      <c r="B58" s="338"/>
      <c r="C58" s="147"/>
      <c r="D58" s="98"/>
      <c r="E58" s="154"/>
      <c r="F58" s="159"/>
      <c r="G58" s="190"/>
      <c r="H58" s="190"/>
      <c r="I58" s="243"/>
      <c r="K58" s="190"/>
      <c r="L58" s="190"/>
      <c r="M58" s="190"/>
      <c r="N58" s="190"/>
      <c r="O58" s="190"/>
      <c r="Q58" s="202" t="str">
        <f>IF(SandBIPDC5[[#This Row],[Salary &amp; Benefits]]&lt;&gt;"","30000","")</f>
        <v/>
      </c>
      <c r="R58" s="203" t="str">
        <f>IF(SandBIPDC5[[#This Row],[Salary &amp; Benefits]]&lt;&gt;"","11601","")</f>
        <v/>
      </c>
      <c r="S58" s="203" t="str">
        <f>IF(SandBIPDC5[[#This Row],[Salary &amp; Benefits]]&lt;&gt;"",_xlfn.XLOOKUP(SandBIPDC5[[#This Row],[Role]],TAccnt[Item],TAccnt[Account Code],"",0,1),"")</f>
        <v/>
      </c>
      <c r="T58" s="203" t="str">
        <f>IF(SandBIPDC5[[#This Row],[Salary &amp; Benefits]]&lt;&gt;"","98002","")</f>
        <v/>
      </c>
      <c r="U58" s="204" t="str" cm="1">
        <f t="array" ref="U58">IF(SandBIPDC5[[#This Row],[Salary &amp; Benefits]]&lt;&gt;"",Indices2Class($E$8,SandBIPDC5[[#This Row],[Role]]),"")</f>
        <v/>
      </c>
      <c r="V58" s="203" t="str">
        <f>IF(SandBIPDC5[[#This Row],[Salary &amp; Benefits]]&lt;&gt;"","305102","")</f>
        <v/>
      </c>
      <c r="W58" s="205" t="str">
        <f>IF(SandBIPDC5[[#This Row],[Salary &amp; Benefits]]&lt;&gt;"",SandBIPDC5[[#This Row],[Salary &amp; Benefits]],"")</f>
        <v/>
      </c>
    </row>
    <row r="59" spans="2:34" ht="15" x14ac:dyDescent="0.2">
      <c r="B59" s="338"/>
      <c r="C59" s="147"/>
      <c r="D59" s="98"/>
      <c r="E59" s="154"/>
      <c r="F59" s="159"/>
      <c r="G59" s="190"/>
      <c r="H59" s="190"/>
      <c r="I59" s="243"/>
      <c r="K59" s="190"/>
      <c r="L59" s="190"/>
      <c r="M59" s="190"/>
      <c r="N59" s="190"/>
      <c r="O59" s="190"/>
      <c r="Q59" s="208" t="str">
        <f>IF(SandBIPDC5[[#This Row],[Salary &amp; Benefits]]&lt;&gt;"","30000","")</f>
        <v/>
      </c>
      <c r="R59" s="185" t="str">
        <f t="shared" ref="R59:R66" si="0">IF($F59&lt;&gt;"","11601","")</f>
        <v/>
      </c>
      <c r="S59" s="185" t="str">
        <f>IF($F59&lt;&gt;"",_xlfn.XLOOKUP($E59,TAccnt[Item],TAccnt[Account Code],"",0,1),"")</f>
        <v/>
      </c>
      <c r="T59" s="185" t="str">
        <f>IF(SandBIPDC5[[#This Row],[Salary &amp; Benefits]]&lt;&gt;"","98002","")</f>
        <v/>
      </c>
      <c r="U59" s="1" t="str" cm="1">
        <f t="array" ref="U59">IF(SandBIPDC5[[#This Row],[Salary &amp; Benefits]]&lt;&gt;"",Indices2Class($E$8,SandBIPDC5[[#This Row],[Role]]),"")</f>
        <v/>
      </c>
      <c r="V59" s="185" t="str">
        <f>IF(SandBIPDC5[[#This Row],[Salary &amp; Benefits]]&lt;&gt;"","305102","")</f>
        <v/>
      </c>
      <c r="W59" s="244" t="str">
        <f>IF(SandBIPDC5[[#This Row],[Salary &amp; Benefits]]&lt;&gt;"",SandBIPDC5[[#This Row],[Salary &amp; Benefits]],"")</f>
        <v/>
      </c>
    </row>
    <row r="60" spans="2:34" ht="15" x14ac:dyDescent="0.2">
      <c r="B60" s="338"/>
      <c r="C60" s="147"/>
      <c r="D60" s="98"/>
      <c r="E60" s="154"/>
      <c r="F60" s="159"/>
      <c r="G60" s="190"/>
      <c r="H60" s="190"/>
      <c r="I60" s="243"/>
      <c r="K60" s="190"/>
      <c r="L60" s="190"/>
      <c r="M60" s="190"/>
      <c r="N60" s="190"/>
      <c r="O60" s="190"/>
      <c r="Q60" s="211" t="str">
        <f>IF(SandBIPDC5[[#This Row],[Salary &amp; Benefits]]&lt;&gt;"","30000","")</f>
        <v/>
      </c>
      <c r="R60" s="212" t="str">
        <f t="shared" si="0"/>
        <v/>
      </c>
      <c r="S60" s="212" t="str">
        <f>IF($F60&lt;&gt;"",_xlfn.XLOOKUP($E60,TAccnt[Item],TAccnt[Account Code],"",0,1),"")</f>
        <v/>
      </c>
      <c r="T60" s="212" t="str">
        <f>IF(SandBIPDC5[[#This Row],[Salary &amp; Benefits]]&lt;&gt;"","98002","")</f>
        <v/>
      </c>
      <c r="U60" s="213" t="str" cm="1">
        <f t="array" ref="U60">IF(SandBIPDC5[[#This Row],[Salary &amp; Benefits]]&lt;&gt;"",Indices2Class($E$8,SandBIPDC5[[#This Row],[Role]]),"")</f>
        <v/>
      </c>
      <c r="V60" s="212" t="str">
        <f>IF(SandBIPDC5[[#This Row],[Salary &amp; Benefits]]&lt;&gt;"","305102","")</f>
        <v/>
      </c>
      <c r="W60" s="245" t="str">
        <f>IF(SandBIPDC5[[#This Row],[Salary &amp; Benefits]]&lt;&gt;"",SandBIPDC5[[#This Row],[Salary &amp; Benefits]],"")</f>
        <v/>
      </c>
    </row>
    <row r="61" spans="2:34" ht="15" x14ac:dyDescent="0.2">
      <c r="B61" s="338"/>
      <c r="C61" s="147"/>
      <c r="D61" s="98"/>
      <c r="E61" s="154"/>
      <c r="F61" s="159"/>
      <c r="G61" s="190"/>
      <c r="H61" s="190"/>
      <c r="I61" s="243"/>
      <c r="K61" s="190"/>
      <c r="L61" s="190"/>
      <c r="M61" s="190"/>
      <c r="N61" s="190"/>
      <c r="O61" s="190"/>
      <c r="Q61" s="208" t="str">
        <f>IF(SandBIPDC5[[#This Row],[Salary &amp; Benefits]]&lt;&gt;"","30000","")</f>
        <v/>
      </c>
      <c r="R61" s="185" t="str">
        <f t="shared" si="0"/>
        <v/>
      </c>
      <c r="S61" s="185" t="str">
        <f>IF($F61&lt;&gt;"",_xlfn.XLOOKUP($E61,TAccnt[Item],TAccnt[Account Code],"",0,1),"")</f>
        <v/>
      </c>
      <c r="T61" s="185" t="str">
        <f>IF(SandBIPDC5[[#This Row],[Salary &amp; Benefits]]&lt;&gt;"","98002","")</f>
        <v/>
      </c>
      <c r="U61" s="1" t="str" cm="1">
        <f t="array" ref="U61">IF(SandBIPDC5[[#This Row],[Salary &amp; Benefits]]&lt;&gt;"",Indices2Class($E$8,SandBIPDC5[[#This Row],[Role]]),"")</f>
        <v/>
      </c>
      <c r="V61" s="185" t="str">
        <f>IF(SandBIPDC5[[#This Row],[Salary &amp; Benefits]]&lt;&gt;"","305102","")</f>
        <v/>
      </c>
      <c r="W61" s="244" t="str">
        <f>IF(SandBIPDC5[[#This Row],[Salary &amp; Benefits]]&lt;&gt;"",SandBIPDC5[[#This Row],[Salary &amp; Benefits]],"")</f>
        <v/>
      </c>
    </row>
    <row r="62" spans="2:34" ht="15" x14ac:dyDescent="0.2">
      <c r="B62" s="338"/>
      <c r="C62" s="147"/>
      <c r="D62" s="98"/>
      <c r="E62" s="154"/>
      <c r="F62" s="159"/>
      <c r="G62" s="190"/>
      <c r="H62" s="190"/>
      <c r="I62" s="243"/>
      <c r="K62" s="190"/>
      <c r="L62" s="190"/>
      <c r="M62" s="190"/>
      <c r="N62" s="190"/>
      <c r="O62" s="190"/>
      <c r="Q62" s="211" t="str">
        <f>IF(SandBIPDC5[[#This Row],[Salary &amp; Benefits]]&lt;&gt;"","30000","")</f>
        <v/>
      </c>
      <c r="R62" s="212" t="str">
        <f t="shared" si="0"/>
        <v/>
      </c>
      <c r="S62" s="212" t="str">
        <f>IF($F62&lt;&gt;"",_xlfn.XLOOKUP($E62,TAccnt[Item],TAccnt[Account Code],"",0,1),"")</f>
        <v/>
      </c>
      <c r="T62" s="212" t="str">
        <f>IF(SandBIPDC5[[#This Row],[Salary &amp; Benefits]]&lt;&gt;"","98002","")</f>
        <v/>
      </c>
      <c r="U62" s="213" t="str" cm="1">
        <f t="array" ref="U62">IF(SandBIPDC5[[#This Row],[Salary &amp; Benefits]]&lt;&gt;"",Indices2Class($E$8,SandBIPDC5[[#This Row],[Role]]),"")</f>
        <v/>
      </c>
      <c r="V62" s="212" t="str">
        <f>IF(SandBIPDC5[[#This Row],[Salary &amp; Benefits]]&lt;&gt;"","305102","")</f>
        <v/>
      </c>
      <c r="W62" s="245" t="str">
        <f>IF(SandBIPDC5[[#This Row],[Salary &amp; Benefits]]&lt;&gt;"",SandBIPDC5[[#This Row],[Salary &amp; Benefits]],"")</f>
        <v/>
      </c>
    </row>
    <row r="63" spans="2:34" ht="15" x14ac:dyDescent="0.2">
      <c r="B63" s="338"/>
      <c r="C63" s="147"/>
      <c r="D63" s="98"/>
      <c r="E63" s="154"/>
      <c r="F63" s="159"/>
      <c r="G63" s="190"/>
      <c r="H63" s="190"/>
      <c r="I63" s="243"/>
      <c r="K63" s="190"/>
      <c r="L63" s="190"/>
      <c r="M63" s="190"/>
      <c r="N63" s="190"/>
      <c r="O63" s="190"/>
      <c r="Q63" s="208" t="str">
        <f>IF(SandBIPDC5[[#This Row],[Salary &amp; Benefits]]&lt;&gt;"","30000","")</f>
        <v/>
      </c>
      <c r="R63" s="185" t="str">
        <f t="shared" si="0"/>
        <v/>
      </c>
      <c r="S63" s="185" t="str">
        <f>IF($F63&lt;&gt;"",_xlfn.XLOOKUP($E63,TAccnt[Item],TAccnt[Account Code],"",0,1),"")</f>
        <v/>
      </c>
      <c r="T63" s="185" t="str">
        <f>IF(SandBIPDC5[[#This Row],[Salary &amp; Benefits]]&lt;&gt;"","98002","")</f>
        <v/>
      </c>
      <c r="U63" s="1" t="str" cm="1">
        <f t="array" ref="U63">IF(SandBIPDC5[[#This Row],[Salary &amp; Benefits]]&lt;&gt;"",Indices2Class($E$8,SandBIPDC5[[#This Row],[Role]]),"")</f>
        <v/>
      </c>
      <c r="V63" s="185" t="str">
        <f>IF(SandBIPDC5[[#This Row],[Salary &amp; Benefits]]&lt;&gt;"","305102","")</f>
        <v/>
      </c>
      <c r="W63" s="244" t="str">
        <f>IF(SandBIPDC5[[#This Row],[Salary &amp; Benefits]]&lt;&gt;"",SandBIPDC5[[#This Row],[Salary &amp; Benefits]],"")</f>
        <v/>
      </c>
    </row>
    <row r="64" spans="2:34" ht="15" x14ac:dyDescent="0.2">
      <c r="B64" s="338"/>
      <c r="C64" s="147"/>
      <c r="D64" s="98"/>
      <c r="E64" s="154"/>
      <c r="F64" s="159"/>
      <c r="G64" s="190"/>
      <c r="H64" s="190"/>
      <c r="I64" s="243"/>
      <c r="K64" s="190"/>
      <c r="L64" s="190"/>
      <c r="M64" s="190"/>
      <c r="N64" s="190"/>
      <c r="O64" s="190"/>
      <c r="Q64" s="211" t="str">
        <f>IF(SandBIPDC5[[#This Row],[Salary &amp; Benefits]]&lt;&gt;"","30000","")</f>
        <v/>
      </c>
      <c r="R64" s="212" t="str">
        <f t="shared" si="0"/>
        <v/>
      </c>
      <c r="S64" s="212" t="str">
        <f>IF($F64&lt;&gt;"",_xlfn.XLOOKUP($E64,TAccnt[Item],TAccnt[Account Code],"",0,1),"")</f>
        <v/>
      </c>
      <c r="T64" s="212" t="str">
        <f>IF(SandBIPDC5[[#This Row],[Salary &amp; Benefits]]&lt;&gt;"","98002","")</f>
        <v/>
      </c>
      <c r="U64" s="213" t="str" cm="1">
        <f t="array" ref="U64">IF(SandBIPDC5[[#This Row],[Salary &amp; Benefits]]&lt;&gt;"",Indices2Class($E$8,SandBIPDC5[[#This Row],[Role]]),"")</f>
        <v/>
      </c>
      <c r="V64" s="212" t="str">
        <f>IF(SandBIPDC5[[#This Row],[Salary &amp; Benefits]]&lt;&gt;"","305102","")</f>
        <v/>
      </c>
      <c r="W64" s="245" t="str">
        <f>IF(SandBIPDC5[[#This Row],[Salary &amp; Benefits]]&lt;&gt;"",SandBIPDC5[[#This Row],[Salary &amp; Benefits]],"")</f>
        <v/>
      </c>
    </row>
    <row r="65" spans="2:34" ht="15" x14ac:dyDescent="0.2">
      <c r="B65" s="338"/>
      <c r="C65" s="147"/>
      <c r="D65" s="98"/>
      <c r="E65" s="154"/>
      <c r="F65" s="159"/>
      <c r="G65" s="190"/>
      <c r="H65" s="190"/>
      <c r="I65" s="243"/>
      <c r="K65" s="190"/>
      <c r="L65" s="190"/>
      <c r="M65" s="190"/>
      <c r="N65" s="190"/>
      <c r="O65" s="190"/>
      <c r="Q65" s="208" t="str">
        <f>IF(SandBIPDC5[[#This Row],[Salary &amp; Benefits]]&lt;&gt;"","30000","")</f>
        <v/>
      </c>
      <c r="R65" s="185" t="str">
        <f t="shared" si="0"/>
        <v/>
      </c>
      <c r="S65" s="185" t="str">
        <f>IF($F65&lt;&gt;"",_xlfn.XLOOKUP($E65,TAccnt[Item],TAccnt[Account Code],"",0,1),"")</f>
        <v/>
      </c>
      <c r="T65" s="185" t="str">
        <f>IF(SandBIPDC5[[#This Row],[Salary &amp; Benefits]]&lt;&gt;"","98002","")</f>
        <v/>
      </c>
      <c r="U65" s="1" t="str" cm="1">
        <f t="array" ref="U65">IF(SandBIPDC5[[#This Row],[Salary &amp; Benefits]]&lt;&gt;"",Indices2Class($E$8,SandBIPDC5[[#This Row],[Role]]),"")</f>
        <v/>
      </c>
      <c r="V65" s="185" t="str">
        <f>IF(SandBIPDC5[[#This Row],[Salary &amp; Benefits]]&lt;&gt;"","305102","")</f>
        <v/>
      </c>
      <c r="W65" s="244" t="str">
        <f>IF(SandBIPDC5[[#This Row],[Salary &amp; Benefits]]&lt;&gt;"",SandBIPDC5[[#This Row],[Salary &amp; Benefits]],"")</f>
        <v/>
      </c>
    </row>
    <row r="66" spans="2:34" ht="16" thickBot="1" x14ac:dyDescent="0.25">
      <c r="B66" s="339"/>
      <c r="C66" s="314" t="s">
        <v>187</v>
      </c>
      <c r="D66" s="315"/>
      <c r="E66" s="322"/>
      <c r="F66" s="328"/>
      <c r="G66" s="190"/>
      <c r="H66" s="190"/>
      <c r="I66" s="243"/>
      <c r="K66" s="1"/>
      <c r="Q66" s="217" t="str">
        <f>IF(SandBIPDC5[[#This Row],[Salary &amp; Benefits]]&lt;&gt;"","30000","")</f>
        <v/>
      </c>
      <c r="R66" s="218" t="str">
        <f t="shared" si="0"/>
        <v/>
      </c>
      <c r="S66" s="218" t="str">
        <f>IF($F66&lt;&gt;"",_xlfn.XLOOKUP($E66,TAccnt[Item],TAccnt[Account Code],"",0,1),"")</f>
        <v/>
      </c>
      <c r="T66" s="218" t="str">
        <f>IF(SandBIPDC5[[#This Row],[Salary &amp; Benefits]]&lt;&gt;"","98002","")</f>
        <v/>
      </c>
      <c r="U66" s="219" t="str" cm="1">
        <f t="array" ref="U66">IF(SandBIPDC5[[#This Row],[Salary &amp; Benefits]]&lt;&gt;"",Indices2Class($E$8,SandBIPDC5[[#This Row],[Role]]),"")</f>
        <v/>
      </c>
      <c r="V66" s="218" t="str">
        <f>IF(SandBIPDC5[[#This Row],[Salary &amp; Benefits]]&lt;&gt;"","305102","")</f>
        <v/>
      </c>
      <c r="W66" s="246" t="str">
        <f>IF(SandBIPDC5[[#This Row],[Salary &amp; Benefits]]&lt;&gt;"",SandBIPDC5[[#This Row],[Salary &amp; Benefits]],"")</f>
        <v/>
      </c>
    </row>
    <row r="67" spans="2:34" ht="15" x14ac:dyDescent="0.2">
      <c r="C67" s="189"/>
      <c r="D67" s="189"/>
      <c r="E67" s="189"/>
      <c r="F67" s="189"/>
      <c r="G67" s="190"/>
      <c r="H67" s="190"/>
      <c r="I67" s="190"/>
      <c r="W67" s="224"/>
    </row>
    <row r="68" spans="2:34" ht="15" x14ac:dyDescent="0.2">
      <c r="C68" s="189"/>
      <c r="D68" s="189"/>
      <c r="E68" s="189"/>
      <c r="F68" s="189"/>
      <c r="G68" s="190"/>
      <c r="H68" s="190"/>
      <c r="I68" s="190"/>
      <c r="W68" s="224"/>
    </row>
    <row r="69" spans="2:34" ht="16" thickBot="1" x14ac:dyDescent="0.25">
      <c r="C69" s="189"/>
      <c r="D69" s="189"/>
      <c r="E69" s="189"/>
      <c r="F69" s="189"/>
      <c r="G69" s="190"/>
      <c r="H69" s="190"/>
      <c r="I69" s="190"/>
      <c r="W69" s="224"/>
    </row>
    <row r="70" spans="2:34" ht="18" customHeight="1" thickBot="1" x14ac:dyDescent="0.25">
      <c r="B70" s="191" t="s">
        <v>188</v>
      </c>
      <c r="C70" s="247"/>
      <c r="F70" s="194"/>
      <c r="G70" s="372" t="s">
        <v>189</v>
      </c>
      <c r="H70" s="373"/>
      <c r="I70" s="373"/>
      <c r="J70" s="373"/>
      <c r="K70" s="374"/>
      <c r="L70" s="248"/>
      <c r="M70" s="249"/>
      <c r="N70" s="249"/>
      <c r="O70" s="249"/>
      <c r="W70" s="224"/>
    </row>
    <row r="71" spans="2:34" ht="31" thickBot="1" x14ac:dyDescent="0.2">
      <c r="B71" s="250" t="s">
        <v>190</v>
      </c>
      <c r="C71" s="251"/>
      <c r="D71" s="251"/>
      <c r="E71" s="252"/>
      <c r="F71" s="253" t="s">
        <v>181</v>
      </c>
      <c r="G71" s="229" t="s">
        <v>172</v>
      </c>
      <c r="H71" s="254" t="s">
        <v>173</v>
      </c>
      <c r="I71" s="229" t="s">
        <v>174</v>
      </c>
      <c r="J71" s="254" t="s">
        <v>175</v>
      </c>
      <c r="K71" s="255" t="s">
        <v>77</v>
      </c>
      <c r="L71" s="375" t="s">
        <v>191</v>
      </c>
      <c r="M71" s="376"/>
      <c r="N71" s="376"/>
      <c r="O71" s="377"/>
      <c r="Q71" s="197" t="s">
        <v>176</v>
      </c>
      <c r="R71" s="198" t="s">
        <v>177</v>
      </c>
      <c r="S71" s="198" t="s">
        <v>178</v>
      </c>
      <c r="T71" s="198" t="s">
        <v>179</v>
      </c>
      <c r="U71" s="198" t="s">
        <v>180</v>
      </c>
      <c r="V71" s="198" t="s">
        <v>7</v>
      </c>
      <c r="W71" s="199" t="s">
        <v>181</v>
      </c>
      <c r="Z71" s="197" t="s">
        <v>176</v>
      </c>
      <c r="AA71" s="198" t="s">
        <v>177</v>
      </c>
      <c r="AB71" s="198" t="s">
        <v>178</v>
      </c>
      <c r="AC71" s="198" t="s">
        <v>179</v>
      </c>
      <c r="AD71" s="198" t="s">
        <v>180</v>
      </c>
      <c r="AE71" s="198" t="s">
        <v>7</v>
      </c>
      <c r="AF71" s="199" t="s">
        <v>181</v>
      </c>
      <c r="AG71" s="196"/>
      <c r="AH71" s="200" t="s">
        <v>182</v>
      </c>
    </row>
    <row r="72" spans="2:34" ht="17" thickTop="1" x14ac:dyDescent="0.2">
      <c r="B72" s="369" t="s">
        <v>110</v>
      </c>
      <c r="C72" s="370"/>
      <c r="D72" s="370"/>
      <c r="E72" s="371"/>
      <c r="F72" s="150"/>
      <c r="G72" s="164"/>
      <c r="H72" s="174"/>
      <c r="I72" s="100"/>
      <c r="J72" s="256" t="str">
        <f>IF(H72&gt;0,100-H72,"")</f>
        <v/>
      </c>
      <c r="K72" s="183"/>
      <c r="L72" s="378"/>
      <c r="M72" s="379"/>
      <c r="N72" s="379"/>
      <c r="O72" s="380"/>
      <c r="Q72" s="202" t="str">
        <f t="shared" ref="Q72:Q86" si="1">IF($F72&lt;&gt;"","30000","")</f>
        <v/>
      </c>
      <c r="R72" s="203" t="str">
        <f t="shared" ref="R72:R86" si="2">IF($F72&lt;&gt;"","11601","")</f>
        <v/>
      </c>
      <c r="S72" s="203" t="str">
        <f>IF($F72&lt;&gt;"",_xlfn.XLOOKUP($B72,TAccnt[Item],TAccnt[Account Code],"",0,1),"")</f>
        <v/>
      </c>
      <c r="T72" s="203" t="str">
        <f>IF($F72&lt;&gt;"",IF($S72=640001,_xlfn.XLOOKUP($B72,TAccnt[Item],TAccnt[AUX Program Code],),"98001"),"")</f>
        <v/>
      </c>
      <c r="U72" s="204" t="str" cm="1">
        <f t="array" ref="U72">IF($F72&lt;&gt;"",Indices2Class($E$8,$G72),"")</f>
        <v/>
      </c>
      <c r="V72" s="203" t="str">
        <f t="shared" ref="V72:V86" si="3">IF($F72&lt;&gt;"","305102","")</f>
        <v/>
      </c>
      <c r="W72" s="257" t="str">
        <f>IF($F72&lt;&gt;"",ROUND($F72*$H72/100,2),"")</f>
        <v/>
      </c>
      <c r="Z72" s="202" t="str">
        <f>IF(Template!$AF72&lt;&gt;"","30000","")</f>
        <v/>
      </c>
      <c r="AA72" s="203" t="str">
        <f>IF(Template!$AF72&lt;&gt;"","11601","")</f>
        <v/>
      </c>
      <c r="AB72" s="203" t="str">
        <f>IF($AF72&lt;&gt;"",_xlfn.XLOOKUP($B72,TAccnt[Item],TAccnt[Account Code],"",0,1),"")</f>
        <v/>
      </c>
      <c r="AC72" s="203" t="str">
        <f>IF($AF72&lt;&gt;"",IF($AB72=640001,_xlfn.XLOOKUP($B72,TAccnt[Item],TAccnt[AUX Program Code],),"98001"),"")</f>
        <v/>
      </c>
      <c r="AD72" s="204" t="str" cm="1">
        <f t="array" ref="AD72">IF($AF72&lt;&gt;"",Indices2Class($E$8,$I72),"")</f>
        <v/>
      </c>
      <c r="AE72" s="203" t="str">
        <f>IF(Template!$AF72&lt;&gt;"","305102","")</f>
        <v/>
      </c>
      <c r="AF72" s="205" t="str">
        <f>IF(AND($J72&gt;0,$F72&lt;&gt;""),$F72-$W72,"")</f>
        <v/>
      </c>
      <c r="AH72" s="206" t="str">
        <f>IF($F72&lt;&gt;"",IF(Template!$W72+IF(Template!$AF72&lt;&gt;"",Template!$AF72,0)=$F72,TRUE,FALSE),"")</f>
        <v/>
      </c>
    </row>
    <row r="73" spans="2:34" ht="16" x14ac:dyDescent="0.2">
      <c r="B73" s="329" t="s">
        <v>112</v>
      </c>
      <c r="C73" s="330"/>
      <c r="D73" s="330"/>
      <c r="E73" s="331"/>
      <c r="F73" s="176"/>
      <c r="G73" s="177"/>
      <c r="H73" s="175"/>
      <c r="I73" s="178"/>
      <c r="J73" s="180" t="str">
        <f t="shared" ref="J73:J86" si="4">IF(H73&gt;0,100-H73,"")</f>
        <v/>
      </c>
      <c r="K73" s="289"/>
      <c r="L73" s="381"/>
      <c r="M73" s="382"/>
      <c r="N73" s="382"/>
      <c r="O73" s="383"/>
      <c r="Q73" s="208" t="str">
        <f t="shared" si="1"/>
        <v/>
      </c>
      <c r="R73" s="185" t="str">
        <f t="shared" si="2"/>
        <v/>
      </c>
      <c r="S73" s="185" t="str">
        <f>IF($F73&lt;&gt;"",_xlfn.XLOOKUP($B73,TAccnt[Item],TAccnt[Account Code],"",0,1),"")</f>
        <v/>
      </c>
      <c r="T73" s="185" t="str">
        <f>IF($F73&lt;&gt;"",IF($S73=640001,_xlfn.XLOOKUP($B73,TAccnt[Item],TAccnt[AUX Program Code],),"98001"),"")</f>
        <v/>
      </c>
      <c r="U73" s="1" t="str" cm="1">
        <f t="array" ref="U73">IF($F73&lt;&gt;"",Indices2Class($E$8,$G73),"")</f>
        <v/>
      </c>
      <c r="V73" s="185" t="str">
        <f t="shared" si="3"/>
        <v/>
      </c>
      <c r="W73" s="244" t="str">
        <f t="shared" ref="W73:W86" si="5">IF($F73&lt;&gt;"",ROUND($F73*$H73/100,2),"")</f>
        <v/>
      </c>
      <c r="Z73" s="208" t="str">
        <f>IF(Template!$AF73&lt;&gt;"","30000","")</f>
        <v/>
      </c>
      <c r="AA73" s="185" t="str">
        <f>IF(Template!$AF73&lt;&gt;"","11601","")</f>
        <v/>
      </c>
      <c r="AB73" s="185" t="str">
        <f>IF($AF73&lt;&gt;"",_xlfn.XLOOKUP($B73,TAccnt[Item],TAccnt[Account Code],"",0,1),"")</f>
        <v/>
      </c>
      <c r="AC73" s="185" t="str">
        <f>IF($AF73&lt;&gt;"",IF($AB73=640001,_xlfn.XLOOKUP($B73,TAccnt[Item],TAccnt[AUX Program Code],),"98001"),"")</f>
        <v/>
      </c>
      <c r="AD73" s="1" t="str" cm="1">
        <f t="array" ref="AD73">IF($AF73&lt;&gt;"",Indices2Class($E$8,$I73),"")</f>
        <v/>
      </c>
      <c r="AE73" s="185" t="str">
        <f>IF(Template!$AF73&lt;&gt;"","305102","")</f>
        <v/>
      </c>
      <c r="AF73" s="244" t="str">
        <f t="shared" ref="AF73:AF86" si="6">IF(AND($J73&gt;0,$F73&lt;&gt;""),$F73-$W73,"")</f>
        <v/>
      </c>
      <c r="AH73" s="210" t="str">
        <f>IF($F73&lt;&gt;"",IF(Template!$W73+IF(Template!$AF73&lt;&gt;"",Template!$AF73,0)=$F73,TRUE,FALSE),"")</f>
        <v/>
      </c>
    </row>
    <row r="74" spans="2:34" ht="16" x14ac:dyDescent="0.2">
      <c r="B74" s="329" t="s">
        <v>113</v>
      </c>
      <c r="C74" s="330"/>
      <c r="D74" s="330"/>
      <c r="E74" s="331"/>
      <c r="F74" s="176"/>
      <c r="G74" s="177"/>
      <c r="H74" s="175"/>
      <c r="I74" s="178"/>
      <c r="J74" s="180" t="str">
        <f t="shared" si="4"/>
        <v/>
      </c>
      <c r="K74" s="289"/>
      <c r="L74" s="381"/>
      <c r="M74" s="382"/>
      <c r="N74" s="382"/>
      <c r="O74" s="383"/>
      <c r="Q74" s="211" t="str">
        <f t="shared" si="1"/>
        <v/>
      </c>
      <c r="R74" s="212" t="str">
        <f t="shared" si="2"/>
        <v/>
      </c>
      <c r="S74" s="212" t="str">
        <f>IF($F74&lt;&gt;"",_xlfn.XLOOKUP($B74,TAccnt[Item],TAccnt[Account Code],"",0,1),"")</f>
        <v/>
      </c>
      <c r="T74" s="212" t="str">
        <f>IF($F74&lt;&gt;"",IF($S74=640001,_xlfn.XLOOKUP($B74,TAccnt[Item],TAccnt[AUX Program Code],),"98001"),"")</f>
        <v/>
      </c>
      <c r="U74" s="213" t="str" cm="1">
        <f t="array" ref="U74">IF($F74&lt;&gt;"",Indices2Class($E$8,$G74),"")</f>
        <v/>
      </c>
      <c r="V74" s="212" t="str">
        <f t="shared" si="3"/>
        <v/>
      </c>
      <c r="W74" s="245" t="str">
        <f t="shared" si="5"/>
        <v/>
      </c>
      <c r="Z74" s="211" t="str">
        <f>IF(Template!$AF74&lt;&gt;"","30000","")</f>
        <v/>
      </c>
      <c r="AA74" s="212" t="str">
        <f>IF(Template!$AF74&lt;&gt;"","11601","")</f>
        <v/>
      </c>
      <c r="AB74" s="212" t="str">
        <f>IF($AF74&lt;&gt;"",_xlfn.XLOOKUP($B74,TAccnt[Item],TAccnt[Account Code],"",0,1),"")</f>
        <v/>
      </c>
      <c r="AC74" s="212" t="str">
        <f>IF($AF74&lt;&gt;"",IF($AB74=640001,_xlfn.XLOOKUP($B74,TAccnt[Item],TAccnt[AUX Program Code],),"98001"),"")</f>
        <v/>
      </c>
      <c r="AD74" s="213" t="str" cm="1">
        <f t="array" ref="AD74">IF($AF74&lt;&gt;"",Indices2Class($E$8,$I74),"")</f>
        <v/>
      </c>
      <c r="AE74" s="212" t="str">
        <f>IF(Template!$AF74&lt;&gt;"","305102","")</f>
        <v/>
      </c>
      <c r="AF74" s="245" t="str">
        <f t="shared" si="6"/>
        <v/>
      </c>
      <c r="AH74" s="215" t="str">
        <f>IF($F74&lt;&gt;"",IF(Template!$W74+IF(Template!$AF74&lt;&gt;"",Template!$AF74,0)=$F74,TRUE,FALSE),"")</f>
        <v/>
      </c>
    </row>
    <row r="75" spans="2:34" ht="16" x14ac:dyDescent="0.2">
      <c r="B75" s="329" t="s">
        <v>114</v>
      </c>
      <c r="C75" s="330"/>
      <c r="D75" s="330"/>
      <c r="E75" s="331"/>
      <c r="F75" s="176"/>
      <c r="G75" s="177"/>
      <c r="H75" s="175"/>
      <c r="I75" s="178"/>
      <c r="J75" s="180" t="str">
        <f t="shared" si="4"/>
        <v/>
      </c>
      <c r="K75" s="289"/>
      <c r="L75" s="381"/>
      <c r="M75" s="382"/>
      <c r="N75" s="382"/>
      <c r="O75" s="383"/>
      <c r="Q75" s="208" t="str">
        <f t="shared" si="1"/>
        <v/>
      </c>
      <c r="R75" s="185" t="str">
        <f t="shared" si="2"/>
        <v/>
      </c>
      <c r="S75" s="185" t="str">
        <f>IF($F75&lt;&gt;"",_xlfn.XLOOKUP($B75,TAccnt[Item],TAccnt[Account Code],"",0,1),"")</f>
        <v/>
      </c>
      <c r="T75" s="185" t="str">
        <f>IF($F75&lt;&gt;"",IF($S75=640001,_xlfn.XLOOKUP($B75,TAccnt[Item],TAccnt[AUX Program Code],),"98001"),"")</f>
        <v/>
      </c>
      <c r="U75" s="1" t="str" cm="1">
        <f t="array" ref="U75">IF($F75&lt;&gt;"",Indices2Class($E$8,$G75),"")</f>
        <v/>
      </c>
      <c r="V75" s="185" t="str">
        <f t="shared" si="3"/>
        <v/>
      </c>
      <c r="W75" s="244" t="str">
        <f t="shared" si="5"/>
        <v/>
      </c>
      <c r="Z75" s="208" t="str">
        <f>IF(Template!$AF75&lt;&gt;"","30000","")</f>
        <v/>
      </c>
      <c r="AA75" s="185" t="str">
        <f>IF(Template!$AF75&lt;&gt;"","11601","")</f>
        <v/>
      </c>
      <c r="AB75" s="185" t="str">
        <f>IF($AF75&lt;&gt;"",_xlfn.XLOOKUP($B75,TAccnt[Item],TAccnt[Account Code],"",0,1),"")</f>
        <v/>
      </c>
      <c r="AC75" s="185" t="str">
        <f>IF($AF75&lt;&gt;"",IF($AB75=640001,_xlfn.XLOOKUP($B75,TAccnt[Item],TAccnt[AUX Program Code],),"98001"),"")</f>
        <v/>
      </c>
      <c r="AD75" s="1" t="str" cm="1">
        <f t="array" ref="AD75">IF($AF75&lt;&gt;"",Indices2Class($E$8,$I75),"")</f>
        <v/>
      </c>
      <c r="AE75" s="185" t="str">
        <f>IF(Template!$AF75&lt;&gt;"","305102","")</f>
        <v/>
      </c>
      <c r="AF75" s="244" t="str">
        <f t="shared" si="6"/>
        <v/>
      </c>
      <c r="AH75" s="210" t="str">
        <f>IF($F75&lt;&gt;"",IF(Template!$W75+IF(Template!$AF75&lt;&gt;"",Template!$AF75,0)=$F75,TRUE,FALSE),"")</f>
        <v/>
      </c>
    </row>
    <row r="76" spans="2:34" ht="16" x14ac:dyDescent="0.2">
      <c r="B76" s="329" t="s">
        <v>115</v>
      </c>
      <c r="C76" s="330"/>
      <c r="D76" s="330"/>
      <c r="E76" s="331"/>
      <c r="F76" s="176"/>
      <c r="G76" s="177"/>
      <c r="H76" s="175"/>
      <c r="I76" s="178"/>
      <c r="J76" s="180" t="str">
        <f t="shared" si="4"/>
        <v/>
      </c>
      <c r="K76" s="289"/>
      <c r="L76" s="381"/>
      <c r="M76" s="382"/>
      <c r="N76" s="382"/>
      <c r="O76" s="383"/>
      <c r="Q76" s="211" t="str">
        <f t="shared" si="1"/>
        <v/>
      </c>
      <c r="R76" s="212" t="str">
        <f t="shared" si="2"/>
        <v/>
      </c>
      <c r="S76" s="212" t="str">
        <f>IF($F76&lt;&gt;"",_xlfn.XLOOKUP($B76,TAccnt[Item],TAccnt[Account Code],"",0,1),"")</f>
        <v/>
      </c>
      <c r="T76" s="212" t="str">
        <f>IF($F76&lt;&gt;"",IF($S76=640001,_xlfn.XLOOKUP($B76,TAccnt[Item],TAccnt[AUX Program Code],),"98001"),"")</f>
        <v/>
      </c>
      <c r="U76" s="213" t="str" cm="1">
        <f t="array" ref="U76">IF($F76&lt;&gt;"",Indices2Class($E$8,$G76),"")</f>
        <v/>
      </c>
      <c r="V76" s="212" t="str">
        <f t="shared" si="3"/>
        <v/>
      </c>
      <c r="W76" s="245" t="str">
        <f t="shared" si="5"/>
        <v/>
      </c>
      <c r="Z76" s="211" t="str">
        <f>IF(Template!$AF76&lt;&gt;"","30000","")</f>
        <v/>
      </c>
      <c r="AA76" s="212" t="str">
        <f>IF(Template!$AF76&lt;&gt;"","11601","")</f>
        <v/>
      </c>
      <c r="AB76" s="212" t="str">
        <f>IF($AF76&lt;&gt;"",_xlfn.XLOOKUP($B76,TAccnt[Item],TAccnt[Account Code],"",0,1),"")</f>
        <v/>
      </c>
      <c r="AC76" s="212" t="str">
        <f>IF($AF76&lt;&gt;"",IF($AB76=640001,_xlfn.XLOOKUP($B76,TAccnt[Item],TAccnt[AUX Program Code],),"98001"),"")</f>
        <v/>
      </c>
      <c r="AD76" s="213" t="str" cm="1">
        <f t="array" ref="AD76">IF($AF76&lt;&gt;"",Indices2Class($E$8,$I76),"")</f>
        <v/>
      </c>
      <c r="AE76" s="212" t="str">
        <f>IF(Template!$AF76&lt;&gt;"","305102","")</f>
        <v/>
      </c>
      <c r="AF76" s="245" t="str">
        <f t="shared" si="6"/>
        <v/>
      </c>
      <c r="AH76" s="215" t="str">
        <f>IF($F76&lt;&gt;"",IF(Template!$W76+IF(Template!$AF76&lt;&gt;"",Template!$AF76,0)=$F76,TRUE,FALSE),"")</f>
        <v/>
      </c>
    </row>
    <row r="77" spans="2:34" ht="16" x14ac:dyDescent="0.2">
      <c r="B77" s="329" t="s">
        <v>117</v>
      </c>
      <c r="C77" s="330"/>
      <c r="D77" s="330"/>
      <c r="E77" s="331"/>
      <c r="F77" s="176"/>
      <c r="G77" s="177"/>
      <c r="H77" s="175"/>
      <c r="I77" s="178"/>
      <c r="J77" s="180" t="str">
        <f t="shared" si="4"/>
        <v/>
      </c>
      <c r="K77" s="289"/>
      <c r="L77" s="381"/>
      <c r="M77" s="382"/>
      <c r="N77" s="382"/>
      <c r="O77" s="383"/>
      <c r="Q77" s="208" t="str">
        <f t="shared" si="1"/>
        <v/>
      </c>
      <c r="R77" s="185" t="str">
        <f t="shared" si="2"/>
        <v/>
      </c>
      <c r="S77" s="185" t="str">
        <f>IF($F77&lt;&gt;"",_xlfn.XLOOKUP($B77,TAccnt[Item],TAccnt[Account Code],"",0,1),"")</f>
        <v/>
      </c>
      <c r="T77" s="185" t="str">
        <f>IF($F77&lt;&gt;"",IF($S77=640001,_xlfn.XLOOKUP($B77,TAccnt[Item],TAccnt[AUX Program Code],),"98001"),"")</f>
        <v/>
      </c>
      <c r="U77" s="1" t="str" cm="1">
        <f t="array" ref="U77">IF($F77&lt;&gt;"",Indices2Class($E$8,$G77),"")</f>
        <v/>
      </c>
      <c r="V77" s="185" t="str">
        <f t="shared" si="3"/>
        <v/>
      </c>
      <c r="W77" s="244" t="str">
        <f t="shared" si="5"/>
        <v/>
      </c>
      <c r="Z77" s="208" t="str">
        <f>IF(Template!$AF77&lt;&gt;"","30000","")</f>
        <v/>
      </c>
      <c r="AA77" s="185" t="str">
        <f>IF(Template!$AF77&lt;&gt;"","11601","")</f>
        <v/>
      </c>
      <c r="AB77" s="185" t="str">
        <f>IF($AF77&lt;&gt;"",_xlfn.XLOOKUP($B77,TAccnt[Item],TAccnt[Account Code],"",0,1),"")</f>
        <v/>
      </c>
      <c r="AC77" s="185" t="str">
        <f>IF($AF77&lt;&gt;"",IF($AB77=640001,_xlfn.XLOOKUP($B77,TAccnt[Item],TAccnt[AUX Program Code],),"98001"),"")</f>
        <v/>
      </c>
      <c r="AD77" s="1" t="str" cm="1">
        <f t="array" ref="AD77">IF($AF77&lt;&gt;"",Indices2Class($E$8,$I77),"")</f>
        <v/>
      </c>
      <c r="AE77" s="185" t="str">
        <f>IF(Template!$AF77&lt;&gt;"","305102","")</f>
        <v/>
      </c>
      <c r="AF77" s="244" t="str">
        <f t="shared" si="6"/>
        <v/>
      </c>
      <c r="AH77" s="210" t="str">
        <f>IF($F77&lt;&gt;"",IF(Template!$W77+IF(Template!$AF77&lt;&gt;"",Template!$AF77,0)=$F77,TRUE,FALSE),"")</f>
        <v/>
      </c>
    </row>
    <row r="78" spans="2:34" ht="16" x14ac:dyDescent="0.2">
      <c r="B78" s="329" t="s">
        <v>120</v>
      </c>
      <c r="C78" s="330"/>
      <c r="D78" s="330"/>
      <c r="E78" s="331"/>
      <c r="F78" s="176"/>
      <c r="G78" s="177"/>
      <c r="H78" s="175"/>
      <c r="I78" s="178"/>
      <c r="J78" s="180" t="str">
        <f t="shared" si="4"/>
        <v/>
      </c>
      <c r="K78" s="289"/>
      <c r="L78" s="381"/>
      <c r="M78" s="382"/>
      <c r="N78" s="382"/>
      <c r="O78" s="383"/>
      <c r="Q78" s="211" t="str">
        <f t="shared" si="1"/>
        <v/>
      </c>
      <c r="R78" s="212" t="str">
        <f t="shared" si="2"/>
        <v/>
      </c>
      <c r="S78" s="212" t="str">
        <f>IF($F78&lt;&gt;"",_xlfn.XLOOKUP($B78,TAccnt[Item],TAccnt[Account Code],"",0,1),"")</f>
        <v/>
      </c>
      <c r="T78" s="212" t="str">
        <f>IF($F78&lt;&gt;"",IF($S78=640001,_xlfn.XLOOKUP($B78,TAccnt[Item],TAccnt[AUX Program Code],),"98001"),"")</f>
        <v/>
      </c>
      <c r="U78" s="213" t="str" cm="1">
        <f t="array" ref="U78">IF($F78&lt;&gt;"",Indices2Class($E$8,$G78),"")</f>
        <v/>
      </c>
      <c r="V78" s="212" t="str">
        <f t="shared" si="3"/>
        <v/>
      </c>
      <c r="W78" s="245" t="str">
        <f t="shared" si="5"/>
        <v/>
      </c>
      <c r="Z78" s="211" t="str">
        <f>IF(Template!$AF78&lt;&gt;"","30000","")</f>
        <v/>
      </c>
      <c r="AA78" s="212" t="str">
        <f>IF(Template!$AF78&lt;&gt;"","11601","")</f>
        <v/>
      </c>
      <c r="AB78" s="212" t="str">
        <f>IF($AF78&lt;&gt;"",_xlfn.XLOOKUP($B78,TAccnt[Item],TAccnt[Account Code],"",0,1),"")</f>
        <v/>
      </c>
      <c r="AC78" s="212" t="str">
        <f>IF($AF78&lt;&gt;"",IF($AB78=640001,_xlfn.XLOOKUP($B78,TAccnt[Item],TAccnt[AUX Program Code],),"98001"),"")</f>
        <v/>
      </c>
      <c r="AD78" s="213" t="str" cm="1">
        <f t="array" ref="AD78">IF($AF78&lt;&gt;"",Indices2Class($E$8,$I78),"")</f>
        <v/>
      </c>
      <c r="AE78" s="212" t="str">
        <f>IF(Template!$AF78&lt;&gt;"","305102","")</f>
        <v/>
      </c>
      <c r="AF78" s="245" t="str">
        <f t="shared" si="6"/>
        <v/>
      </c>
      <c r="AH78" s="215" t="str">
        <f>IF($F78&lt;&gt;"",IF(Template!$W78+IF(Template!$AF78&lt;&gt;"",Template!$AF78,0)=$F78,TRUE,FALSE),"")</f>
        <v/>
      </c>
    </row>
    <row r="79" spans="2:34" ht="16" x14ac:dyDescent="0.2">
      <c r="B79" s="329" t="s">
        <v>123</v>
      </c>
      <c r="C79" s="330"/>
      <c r="D79" s="330"/>
      <c r="E79" s="331"/>
      <c r="F79" s="176"/>
      <c r="G79" s="177"/>
      <c r="H79" s="175"/>
      <c r="I79" s="178"/>
      <c r="J79" s="180" t="str">
        <f t="shared" si="4"/>
        <v/>
      </c>
      <c r="K79" s="289"/>
      <c r="L79" s="381"/>
      <c r="M79" s="382"/>
      <c r="N79" s="382"/>
      <c r="O79" s="383"/>
      <c r="Q79" s="208" t="str">
        <f t="shared" si="1"/>
        <v/>
      </c>
      <c r="R79" s="185" t="str">
        <f t="shared" si="2"/>
        <v/>
      </c>
      <c r="S79" s="185" t="str">
        <f>IF($F79&lt;&gt;"",_xlfn.XLOOKUP($B79,TAccnt[Item],TAccnt[Account Code],"",0,1),"")</f>
        <v/>
      </c>
      <c r="T79" s="185" t="str">
        <f>IF($F79&lt;&gt;"",IF($S79=640001,_xlfn.XLOOKUP($B79,TAccnt[Item],TAccnt[AUX Program Code],),"98001"),"")</f>
        <v/>
      </c>
      <c r="U79" s="1" t="str" cm="1">
        <f t="array" ref="U79">IF($F79&lt;&gt;"",Indices2Class($E$8,$G79),"")</f>
        <v/>
      </c>
      <c r="V79" s="185" t="str">
        <f t="shared" si="3"/>
        <v/>
      </c>
      <c r="W79" s="244" t="str">
        <f t="shared" si="5"/>
        <v/>
      </c>
      <c r="Z79" s="208" t="str">
        <f>IF(Template!$AF79&lt;&gt;"","30000","")</f>
        <v/>
      </c>
      <c r="AA79" s="185" t="str">
        <f>IF(Template!$AF79&lt;&gt;"","11601","")</f>
        <v/>
      </c>
      <c r="AB79" s="185" t="str">
        <f>IF($AF79&lt;&gt;"",_xlfn.XLOOKUP($B79,TAccnt[Item],TAccnt[Account Code],"",0,1),"")</f>
        <v/>
      </c>
      <c r="AC79" s="185" t="str">
        <f>IF($AF79&lt;&gt;"",IF($AB79=640001,_xlfn.XLOOKUP($B79,TAccnt[Item],TAccnt[AUX Program Code],),"98001"),"")</f>
        <v/>
      </c>
      <c r="AD79" s="1" t="str" cm="1">
        <f t="array" ref="AD79">IF($AF79&lt;&gt;"",Indices2Class($E$8,$I79),"")</f>
        <v/>
      </c>
      <c r="AE79" s="185" t="str">
        <f>IF(Template!$AF79&lt;&gt;"","305102","")</f>
        <v/>
      </c>
      <c r="AF79" s="244" t="str">
        <f t="shared" si="6"/>
        <v/>
      </c>
      <c r="AH79" s="210" t="str">
        <f>IF($F79&lt;&gt;"",IF(Template!$W79+IF(Template!$AF79&lt;&gt;"",Template!$AF79,0)=$F79,TRUE,FALSE),"")</f>
        <v/>
      </c>
    </row>
    <row r="80" spans="2:34" ht="16" x14ac:dyDescent="0.2">
      <c r="B80" s="329" t="s">
        <v>126</v>
      </c>
      <c r="C80" s="330"/>
      <c r="D80" s="330"/>
      <c r="E80" s="331"/>
      <c r="F80" s="176"/>
      <c r="G80" s="177"/>
      <c r="H80" s="175"/>
      <c r="I80" s="178"/>
      <c r="J80" s="180" t="str">
        <f t="shared" si="4"/>
        <v/>
      </c>
      <c r="K80" s="289"/>
      <c r="L80" s="381"/>
      <c r="M80" s="382"/>
      <c r="N80" s="382"/>
      <c r="O80" s="383"/>
      <c r="Q80" s="211" t="str">
        <f t="shared" si="1"/>
        <v/>
      </c>
      <c r="R80" s="212" t="str">
        <f t="shared" si="2"/>
        <v/>
      </c>
      <c r="S80" s="212" t="str">
        <f>IF($F80&lt;&gt;"",_xlfn.XLOOKUP($B80,TAccnt[Item],TAccnt[Account Code],"",0,1),"")</f>
        <v/>
      </c>
      <c r="T80" s="212" t="str">
        <f>IF($F80&lt;&gt;"",IF($S80=640001,_xlfn.XLOOKUP($B80,TAccnt[Item],TAccnt[AUX Program Code],),"98001"),"")</f>
        <v/>
      </c>
      <c r="U80" s="213" t="str" cm="1">
        <f t="array" ref="U80">IF($F80&lt;&gt;"",Indices2Class($E$8,$G80),"")</f>
        <v/>
      </c>
      <c r="V80" s="212" t="str">
        <f t="shared" si="3"/>
        <v/>
      </c>
      <c r="W80" s="245" t="str">
        <f t="shared" si="5"/>
        <v/>
      </c>
      <c r="Z80" s="211" t="str">
        <f>IF(Template!$AF80&lt;&gt;"","30000","")</f>
        <v/>
      </c>
      <c r="AA80" s="212" t="str">
        <f>IF(Template!$AF80&lt;&gt;"","11601","")</f>
        <v/>
      </c>
      <c r="AB80" s="212" t="str">
        <f>IF($AF80&lt;&gt;"",_xlfn.XLOOKUP($B80,TAccnt[Item],TAccnt[Account Code],"",0,1),"")</f>
        <v/>
      </c>
      <c r="AC80" s="212" t="str">
        <f>IF($AF80&lt;&gt;"",IF($AB80=640001,_xlfn.XLOOKUP($B80,TAccnt[Item],TAccnt[AUX Program Code],),"98001"),"")</f>
        <v/>
      </c>
      <c r="AD80" s="213" t="str" cm="1">
        <f t="array" ref="AD80">IF($AF80&lt;&gt;"",Indices2Class($E$8,$I80),"")</f>
        <v/>
      </c>
      <c r="AE80" s="212" t="str">
        <f>IF(Template!$AF80&lt;&gt;"","305102","")</f>
        <v/>
      </c>
      <c r="AF80" s="245" t="str">
        <f t="shared" si="6"/>
        <v/>
      </c>
      <c r="AH80" s="215" t="str">
        <f>IF($F80&lt;&gt;"",IF(Template!$W80+IF(Template!$AF80&lt;&gt;"",Template!$AF80,0)=$F80,TRUE,FALSE),"")</f>
        <v/>
      </c>
    </row>
    <row r="81" spans="2:34" ht="16" x14ac:dyDescent="0.2">
      <c r="B81" s="329" t="s">
        <v>128</v>
      </c>
      <c r="C81" s="330"/>
      <c r="D81" s="330"/>
      <c r="E81" s="331"/>
      <c r="F81" s="176"/>
      <c r="G81" s="177"/>
      <c r="H81" s="175"/>
      <c r="I81" s="178"/>
      <c r="J81" s="180" t="str">
        <f t="shared" si="4"/>
        <v/>
      </c>
      <c r="K81" s="289"/>
      <c r="L81" s="381"/>
      <c r="M81" s="382"/>
      <c r="N81" s="382"/>
      <c r="O81" s="383"/>
      <c r="Q81" s="208" t="str">
        <f t="shared" si="1"/>
        <v/>
      </c>
      <c r="R81" s="185" t="str">
        <f t="shared" si="2"/>
        <v/>
      </c>
      <c r="S81" s="185" t="str">
        <f>IF($F81&lt;&gt;"",_xlfn.XLOOKUP($B81,TAccnt[Item],TAccnt[Account Code],"",0,1),"")</f>
        <v/>
      </c>
      <c r="T81" s="185" t="str">
        <f>IF($F81&lt;&gt;"",IF($S81=640001,_xlfn.XLOOKUP($B81,TAccnt[Item],TAccnt[AUX Program Code],),"98001"),"")</f>
        <v/>
      </c>
      <c r="U81" s="1" t="str" cm="1">
        <f t="array" ref="U81">IF($F81&lt;&gt;"",Indices2Class($E$8,$G81),"")</f>
        <v/>
      </c>
      <c r="V81" s="185" t="str">
        <f t="shared" si="3"/>
        <v/>
      </c>
      <c r="W81" s="244" t="str">
        <f t="shared" si="5"/>
        <v/>
      </c>
      <c r="Z81" s="208" t="str">
        <f>IF(Template!$AF81&lt;&gt;"","30000","")</f>
        <v/>
      </c>
      <c r="AA81" s="185" t="str">
        <f>IF(Template!$AF81&lt;&gt;"","11601","")</f>
        <v/>
      </c>
      <c r="AB81" s="185" t="str">
        <f>IF($AF81&lt;&gt;"",_xlfn.XLOOKUP($B81,TAccnt[Item],TAccnt[Account Code],"",0,1),"")</f>
        <v/>
      </c>
      <c r="AC81" s="185" t="str">
        <f>IF($AF81&lt;&gt;"",IF($AB81=640001,_xlfn.XLOOKUP($B81,TAccnt[Item],TAccnt[AUX Program Code],),"98001"),"")</f>
        <v/>
      </c>
      <c r="AD81" s="1" t="str" cm="1">
        <f t="array" ref="AD81">IF($AF81&lt;&gt;"",Indices2Class($E$8,$I81),"")</f>
        <v/>
      </c>
      <c r="AE81" s="185" t="str">
        <f>IF(Template!$AF81&lt;&gt;"","305102","")</f>
        <v/>
      </c>
      <c r="AF81" s="244" t="str">
        <f t="shared" si="6"/>
        <v/>
      </c>
      <c r="AH81" s="210" t="str">
        <f>IF($F81&lt;&gt;"",IF(Template!$W81+IF(Template!$AF81&lt;&gt;"",Template!$AF81,0)=$F81,TRUE,FALSE),"")</f>
        <v/>
      </c>
    </row>
    <row r="82" spans="2:34" ht="16" x14ac:dyDescent="0.2">
      <c r="B82" s="329" t="s">
        <v>130</v>
      </c>
      <c r="C82" s="330"/>
      <c r="D82" s="330"/>
      <c r="E82" s="331"/>
      <c r="F82" s="176"/>
      <c r="G82" s="177"/>
      <c r="H82" s="175"/>
      <c r="I82" s="178"/>
      <c r="J82" s="180" t="str">
        <f t="shared" si="4"/>
        <v/>
      </c>
      <c r="K82" s="289"/>
      <c r="L82" s="381"/>
      <c r="M82" s="382"/>
      <c r="N82" s="382"/>
      <c r="O82" s="383"/>
      <c r="Q82" s="211" t="str">
        <f t="shared" si="1"/>
        <v/>
      </c>
      <c r="R82" s="212" t="str">
        <f t="shared" si="2"/>
        <v/>
      </c>
      <c r="S82" s="212" t="str">
        <f>IF($F82&lt;&gt;"",_xlfn.XLOOKUP($B82,TAccnt[Item],TAccnt[Account Code],"",0,1),"")</f>
        <v/>
      </c>
      <c r="T82" s="212" t="str">
        <f>IF($F82&lt;&gt;"",IF($S82=640001,_xlfn.XLOOKUP($B82,TAccnt[Item],TAccnt[AUX Program Code],),"98001"),"")</f>
        <v/>
      </c>
      <c r="U82" s="213" t="str" cm="1">
        <f t="array" ref="U82">IF($F82&lt;&gt;"",Indices2Class($E$8,$G82),"")</f>
        <v/>
      </c>
      <c r="V82" s="212" t="str">
        <f t="shared" si="3"/>
        <v/>
      </c>
      <c r="W82" s="245" t="str">
        <f t="shared" si="5"/>
        <v/>
      </c>
      <c r="Z82" s="211" t="str">
        <f>IF(Template!$AF82&lt;&gt;"","30000","")</f>
        <v/>
      </c>
      <c r="AA82" s="212" t="str">
        <f>IF(Template!$AF82&lt;&gt;"","11601","")</f>
        <v/>
      </c>
      <c r="AB82" s="212" t="str">
        <f>IF($AF82&lt;&gt;"",_xlfn.XLOOKUP($B82,TAccnt[Item],TAccnt[Account Code],"",0,1),"")</f>
        <v/>
      </c>
      <c r="AC82" s="212" t="str">
        <f>IF($AF82&lt;&gt;"",IF($AB82=640001,_xlfn.XLOOKUP($B82,TAccnt[Item],TAccnt[AUX Program Code],),"98001"),"")</f>
        <v/>
      </c>
      <c r="AD82" s="213" t="str" cm="1">
        <f t="array" ref="AD82">IF($AF82&lt;&gt;"",Indices2Class($E$8,$I82),"")</f>
        <v/>
      </c>
      <c r="AE82" s="212" t="str">
        <f>IF(Template!$AF82&lt;&gt;"","305102","")</f>
        <v/>
      </c>
      <c r="AF82" s="245" t="str">
        <f t="shared" si="6"/>
        <v/>
      </c>
      <c r="AH82" s="215" t="str">
        <f>IF($F82&lt;&gt;"",IF(Template!$W82+IF(Template!$AF82&lt;&gt;"",Template!$AF82,0)=$F82,TRUE,FALSE),"")</f>
        <v/>
      </c>
    </row>
    <row r="83" spans="2:34" ht="16" x14ac:dyDescent="0.2">
      <c r="B83" s="329" t="s">
        <v>134</v>
      </c>
      <c r="C83" s="330"/>
      <c r="D83" s="330"/>
      <c r="E83" s="331"/>
      <c r="F83" s="176"/>
      <c r="G83" s="177"/>
      <c r="H83" s="175"/>
      <c r="I83" s="178"/>
      <c r="J83" s="180" t="str">
        <f t="shared" si="4"/>
        <v/>
      </c>
      <c r="K83" s="289"/>
      <c r="L83" s="381"/>
      <c r="M83" s="382"/>
      <c r="N83" s="382"/>
      <c r="O83" s="383"/>
      <c r="Q83" s="208" t="str">
        <f t="shared" si="1"/>
        <v/>
      </c>
      <c r="R83" s="185" t="str">
        <f t="shared" si="2"/>
        <v/>
      </c>
      <c r="S83" s="185" t="str">
        <f>IF($F83&lt;&gt;"",_xlfn.XLOOKUP($B83,TAccnt[Item],TAccnt[Account Code],"",0,1),"")</f>
        <v/>
      </c>
      <c r="T83" s="185" t="str">
        <f>IF($F83&lt;&gt;"",IF($S83=640001,_xlfn.XLOOKUP($B83,TAccnt[Item],TAccnt[AUX Program Code],),"98001"),"")</f>
        <v/>
      </c>
      <c r="U83" s="1" t="str" cm="1">
        <f t="array" ref="U83">IF($F83&lt;&gt;"",Indices2Class($E$8,$G83),"")</f>
        <v/>
      </c>
      <c r="V83" s="185" t="str">
        <f t="shared" si="3"/>
        <v/>
      </c>
      <c r="W83" s="244" t="str">
        <f t="shared" si="5"/>
        <v/>
      </c>
      <c r="Z83" s="208" t="str">
        <f>IF(Template!$AF83&lt;&gt;"","30000","")</f>
        <v/>
      </c>
      <c r="AA83" s="185" t="str">
        <f>IF(Template!$AF83&lt;&gt;"","11601","")</f>
        <v/>
      </c>
      <c r="AB83" s="185" t="str">
        <f>IF($AF83&lt;&gt;"",_xlfn.XLOOKUP($B83,TAccnt[Item],TAccnt[Account Code],"",0,1),"")</f>
        <v/>
      </c>
      <c r="AC83" s="185" t="str">
        <f>IF($AF83&lt;&gt;"",IF($AB83=640001,_xlfn.XLOOKUP($B83,TAccnt[Item],TAccnt[AUX Program Code],),"98001"),"")</f>
        <v/>
      </c>
      <c r="AD83" s="1" t="str" cm="1">
        <f t="array" ref="AD83">IF($AF83&lt;&gt;"",Indices2Class($E$8,$I83),"")</f>
        <v/>
      </c>
      <c r="AE83" s="185" t="str">
        <f>IF(Template!$AF83&lt;&gt;"","305102","")</f>
        <v/>
      </c>
      <c r="AF83" s="244" t="str">
        <f t="shared" si="6"/>
        <v/>
      </c>
      <c r="AH83" s="210" t="str">
        <f>IF($F83&lt;&gt;"",IF(Template!$W83+IF(Template!$AF83&lt;&gt;"",Template!$AF83,0)=$F83,TRUE,FALSE),"")</f>
        <v/>
      </c>
    </row>
    <row r="84" spans="2:34" ht="16" x14ac:dyDescent="0.2">
      <c r="B84" s="329" t="s">
        <v>137</v>
      </c>
      <c r="C84" s="330"/>
      <c r="D84" s="330"/>
      <c r="E84" s="331"/>
      <c r="F84" s="176"/>
      <c r="G84" s="177"/>
      <c r="H84" s="175"/>
      <c r="I84" s="178"/>
      <c r="J84" s="180" t="str">
        <f t="shared" si="4"/>
        <v/>
      </c>
      <c r="K84" s="289"/>
      <c r="L84" s="381"/>
      <c r="M84" s="382"/>
      <c r="N84" s="382"/>
      <c r="O84" s="383"/>
      <c r="Q84" s="211" t="str">
        <f t="shared" si="1"/>
        <v/>
      </c>
      <c r="R84" s="212" t="str">
        <f t="shared" si="2"/>
        <v/>
      </c>
      <c r="S84" s="212" t="str">
        <f>IF($F84&lt;&gt;"",_xlfn.XLOOKUP($B84,TAccnt[Item],TAccnt[Account Code],"",0,1),"")</f>
        <v/>
      </c>
      <c r="T84" s="212" t="str">
        <f>IF($F84&lt;&gt;"",IF($S84=640001,_xlfn.XLOOKUP($B84,TAccnt[Item],TAccnt[AUX Program Code],),"98001"),"")</f>
        <v/>
      </c>
      <c r="U84" s="213" t="str" cm="1">
        <f t="array" ref="U84">IF($F84&lt;&gt;"",Indices2Class($E$8,$G84),"")</f>
        <v/>
      </c>
      <c r="V84" s="212" t="str">
        <f t="shared" si="3"/>
        <v/>
      </c>
      <c r="W84" s="245" t="str">
        <f t="shared" si="5"/>
        <v/>
      </c>
      <c r="Z84" s="211" t="str">
        <f>IF(Template!$AF84&lt;&gt;"","30000","")</f>
        <v/>
      </c>
      <c r="AA84" s="212" t="str">
        <f>IF(Template!$AF84&lt;&gt;"","11601","")</f>
        <v/>
      </c>
      <c r="AB84" s="212" t="str">
        <f>IF($AF84&lt;&gt;"",_xlfn.XLOOKUP($B84,TAccnt[Item],TAccnt[Account Code],"",0,1),"")</f>
        <v/>
      </c>
      <c r="AC84" s="212" t="str">
        <f>IF($AF84&lt;&gt;"",IF($AB84=640001,_xlfn.XLOOKUP($B84,TAccnt[Item],TAccnt[AUX Program Code],),"98001"),"")</f>
        <v/>
      </c>
      <c r="AD84" s="213" t="str" cm="1">
        <f t="array" ref="AD84">IF($AF84&lt;&gt;"",Indices2Class($E$8,$I84),"")</f>
        <v/>
      </c>
      <c r="AE84" s="212" t="str">
        <f>IF(Template!$AF84&lt;&gt;"","305102","")</f>
        <v/>
      </c>
      <c r="AF84" s="245" t="str">
        <f t="shared" si="6"/>
        <v/>
      </c>
      <c r="AH84" s="215" t="str">
        <f>IF($F84&lt;&gt;"",IF(Template!$W84+IF(Template!$AF84&lt;&gt;"",Template!$AF84,0)=$F84,TRUE,FALSE),"")</f>
        <v/>
      </c>
    </row>
    <row r="85" spans="2:34" ht="16" x14ac:dyDescent="0.2">
      <c r="B85" s="329" t="s">
        <v>139</v>
      </c>
      <c r="C85" s="330"/>
      <c r="D85" s="330"/>
      <c r="E85" s="331"/>
      <c r="F85" s="176"/>
      <c r="G85" s="177"/>
      <c r="H85" s="175"/>
      <c r="I85" s="178"/>
      <c r="J85" s="180" t="str">
        <f t="shared" si="4"/>
        <v/>
      </c>
      <c r="K85" s="289"/>
      <c r="L85" s="381"/>
      <c r="M85" s="382"/>
      <c r="N85" s="382"/>
      <c r="O85" s="383"/>
      <c r="Q85" s="208" t="str">
        <f t="shared" si="1"/>
        <v/>
      </c>
      <c r="R85" s="185" t="str">
        <f t="shared" si="2"/>
        <v/>
      </c>
      <c r="S85" s="185" t="str">
        <f>IF($F85&lt;&gt;"",_xlfn.XLOOKUP($B85,TAccnt[Item],TAccnt[Account Code],"",0,1),"")</f>
        <v/>
      </c>
      <c r="T85" s="185" t="str">
        <f>IF($F85&lt;&gt;"",IF($S85=640001,_xlfn.XLOOKUP($B85,TAccnt[Item],TAccnt[AUX Program Code],),"98001"),"")</f>
        <v/>
      </c>
      <c r="U85" s="1" t="str" cm="1">
        <f t="array" ref="U85">IF($F85&lt;&gt;"",Indices2Class($E$8,$G85),"")</f>
        <v/>
      </c>
      <c r="V85" s="185" t="str">
        <f t="shared" si="3"/>
        <v/>
      </c>
      <c r="W85" s="244" t="str">
        <f t="shared" si="5"/>
        <v/>
      </c>
      <c r="Z85" s="208" t="str">
        <f>IF(Template!$AF85&lt;&gt;"","30000","")</f>
        <v/>
      </c>
      <c r="AA85" s="185" t="str">
        <f>IF(Template!$AF85&lt;&gt;"","11601","")</f>
        <v/>
      </c>
      <c r="AB85" s="185" t="str">
        <f>IF($AF85&lt;&gt;"",_xlfn.XLOOKUP($B85,TAccnt[Item],TAccnt[Account Code],"",0,1),"")</f>
        <v/>
      </c>
      <c r="AC85" s="185" t="str">
        <f>IF($AF85&lt;&gt;"",IF($AB85=640001,_xlfn.XLOOKUP($B85,TAccnt[Item],TAccnt[AUX Program Code],),"98001"),"")</f>
        <v/>
      </c>
      <c r="AD85" s="1" t="str" cm="1">
        <f t="array" ref="AD85">IF($AF85&lt;&gt;"",Indices2Class($E$8,$I85),"")</f>
        <v/>
      </c>
      <c r="AE85" s="185" t="str">
        <f>IF(Template!$AF85&lt;&gt;"","305102","")</f>
        <v/>
      </c>
      <c r="AF85" s="244" t="str">
        <f t="shared" si="6"/>
        <v/>
      </c>
      <c r="AH85" s="210" t="str">
        <f>IF($F85&lt;&gt;"",IF(Template!$W85+IF(Template!$AF85&lt;&gt;"",Template!$AF85,0)=$F85,TRUE,FALSE),"")</f>
        <v/>
      </c>
    </row>
    <row r="86" spans="2:34" ht="17" thickBot="1" x14ac:dyDescent="0.25">
      <c r="B86" s="366" t="s">
        <v>140</v>
      </c>
      <c r="C86" s="367"/>
      <c r="D86" s="367"/>
      <c r="E86" s="368"/>
      <c r="F86" s="163"/>
      <c r="G86" s="165"/>
      <c r="H86" s="288"/>
      <c r="I86" s="166"/>
      <c r="J86" s="262" t="str">
        <f t="shared" si="4"/>
        <v/>
      </c>
      <c r="K86" s="184"/>
      <c r="L86" s="388"/>
      <c r="M86" s="389"/>
      <c r="N86" s="389"/>
      <c r="O86" s="390"/>
      <c r="Q86" s="217" t="str">
        <f t="shared" si="1"/>
        <v/>
      </c>
      <c r="R86" s="218" t="str">
        <f t="shared" si="2"/>
        <v/>
      </c>
      <c r="S86" s="218" t="str">
        <f>IF($F86&lt;&gt;"",_xlfn.XLOOKUP($B86,TAccnt[Item],TAccnt[Account Code],"",0,1),"")</f>
        <v/>
      </c>
      <c r="T86" s="218" t="str">
        <f>IF($F86&lt;&gt;"",IF($S86=640001,_xlfn.XLOOKUP($B86,TAccnt[Item],TAccnt[AUX Program Code],),"98001"),"")</f>
        <v/>
      </c>
      <c r="U86" s="219" t="str" cm="1">
        <f t="array" ref="U86">IF($F86&lt;&gt;"",Indices2Class($E$8,$G86),"")</f>
        <v/>
      </c>
      <c r="V86" s="218" t="str">
        <f t="shared" si="3"/>
        <v/>
      </c>
      <c r="W86" s="246" t="str">
        <f t="shared" si="5"/>
        <v/>
      </c>
      <c r="Z86" s="217" t="str">
        <f>IF(Template!$AF86&lt;&gt;"","30000","")</f>
        <v/>
      </c>
      <c r="AA86" s="218" t="str">
        <f>IF(Template!$AF86&lt;&gt;"","11601","")</f>
        <v/>
      </c>
      <c r="AB86" s="218" t="str">
        <f>IF($AF86&lt;&gt;"",_xlfn.XLOOKUP($B86,TAccnt[Item],TAccnt[Account Code],"",0,1),"")</f>
        <v/>
      </c>
      <c r="AC86" s="218" t="str">
        <f>IF($AF86&lt;&gt;"",IF($AB86=640001,_xlfn.XLOOKUP($B86,TAccnt[Item],TAccnt[AUX Program Code],),"98001"),"")</f>
        <v/>
      </c>
      <c r="AD86" s="219" t="str" cm="1">
        <f t="array" ref="AD86">IF($AF86&lt;&gt;"",Indices2Class($E$8,$I86),"")</f>
        <v/>
      </c>
      <c r="AE86" s="218" t="str">
        <f>IF(Template!$AF86&lt;&gt;"","305102","")</f>
        <v/>
      </c>
      <c r="AF86" s="246" t="str">
        <f t="shared" si="6"/>
        <v/>
      </c>
      <c r="AH86" s="221" t="str">
        <f>IF($F86&lt;&gt;"",IF(Template!$W86+IF(Template!$AF86&lt;&gt;"",Template!$AF86,0)=$F86,TRUE,FALSE),"")</f>
        <v/>
      </c>
    </row>
    <row r="87" spans="2:34" ht="15" x14ac:dyDescent="0.2">
      <c r="C87" s="247"/>
      <c r="D87" s="247"/>
      <c r="E87" s="189"/>
      <c r="F87" s="263"/>
      <c r="G87" s="264"/>
      <c r="H87" s="264"/>
      <c r="I87" s="264"/>
    </row>
    <row r="88" spans="2:34" ht="15" x14ac:dyDescent="0.2">
      <c r="C88" s="247"/>
      <c r="D88" s="247"/>
      <c r="E88" s="189"/>
      <c r="F88" s="263"/>
      <c r="G88" s="264"/>
      <c r="H88" s="264"/>
      <c r="I88" s="264"/>
    </row>
    <row r="89" spans="2:34" ht="15" x14ac:dyDescent="0.2">
      <c r="C89" s="247"/>
      <c r="D89" s="247"/>
      <c r="E89" s="189"/>
      <c r="F89" s="263"/>
      <c r="G89" s="264"/>
      <c r="H89" s="264"/>
      <c r="I89" s="264"/>
    </row>
    <row r="90" spans="2:34" ht="15" x14ac:dyDescent="0.2">
      <c r="C90" s="189"/>
      <c r="D90" s="189"/>
      <c r="E90" s="189"/>
      <c r="F90" s="189"/>
      <c r="G90" s="190"/>
      <c r="H90" s="190"/>
      <c r="I90" s="190"/>
    </row>
    <row r="91" spans="2:34" ht="17" thickBot="1" x14ac:dyDescent="0.25">
      <c r="B91" s="191" t="s">
        <v>192</v>
      </c>
      <c r="C91" s="247"/>
      <c r="D91" s="194"/>
      <c r="E91" s="249"/>
      <c r="F91" s="249"/>
      <c r="G91" s="249"/>
      <c r="H91" s="249"/>
      <c r="I91" s="249"/>
      <c r="J91" s="249"/>
    </row>
    <row r="92" spans="2:34" ht="15" thickBot="1" x14ac:dyDescent="0.2">
      <c r="B92" s="250" t="s">
        <v>190</v>
      </c>
      <c r="C92" s="251"/>
      <c r="D92" s="251"/>
      <c r="E92" s="252"/>
      <c r="F92" s="265" t="s">
        <v>181</v>
      </c>
      <c r="G92" s="135"/>
      <c r="H92" s="135"/>
      <c r="I92" s="135"/>
      <c r="J92" s="135"/>
      <c r="Q92" s="197" t="s">
        <v>176</v>
      </c>
      <c r="R92" s="198" t="s">
        <v>177</v>
      </c>
      <c r="S92" s="198" t="s">
        <v>178</v>
      </c>
      <c r="T92" s="198" t="s">
        <v>179</v>
      </c>
      <c r="U92" s="198" t="s">
        <v>180</v>
      </c>
      <c r="V92" s="198" t="s">
        <v>7</v>
      </c>
      <c r="W92" s="199" t="s">
        <v>181</v>
      </c>
    </row>
    <row r="93" spans="2:34" ht="17" thickTop="1" x14ac:dyDescent="0.2">
      <c r="B93" s="329" t="s">
        <v>142</v>
      </c>
      <c r="C93" s="330"/>
      <c r="D93" s="330"/>
      <c r="E93" s="331"/>
      <c r="F93" s="159"/>
      <c r="G93" s="266"/>
      <c r="H93" s="1"/>
      <c r="I93" s="266"/>
      <c r="J93" s="243"/>
      <c r="K93" s="74"/>
      <c r="L93" s="74"/>
      <c r="M93" s="74"/>
      <c r="N93" s="74"/>
      <c r="O93" s="74"/>
      <c r="Q93" s="202" t="str">
        <f>IF($F93&lt;&gt;"","31000","")</f>
        <v/>
      </c>
      <c r="R93" s="203" t="str">
        <f t="shared" ref="R93:R97" si="7">IF($F93&lt;&gt;"","11601","")</f>
        <v/>
      </c>
      <c r="S93" s="203" t="str">
        <f>IF($F93&lt;&gt;"",_xlfn.XLOOKUP($B93,TAccnt[Item],TAccnt[Account Code],"",0,1),"")</f>
        <v/>
      </c>
      <c r="T93" s="203" t="str">
        <f>IF($F93&lt;&gt;"","98001","")</f>
        <v/>
      </c>
      <c r="U93" s="204" t="str" cm="1">
        <f t="array" ref="U93">IF(F93&lt;&gt;"",Indices2Class($E$8,"ICR"),"")</f>
        <v/>
      </c>
      <c r="V93" s="203" t="str">
        <f>IF($F93&lt;&gt;"","305104","")</f>
        <v/>
      </c>
      <c r="W93" s="257" t="str">
        <f t="shared" ref="W93:W97" si="8">IF($F93&lt;&gt;"",$F93,"")</f>
        <v/>
      </c>
    </row>
    <row r="94" spans="2:34" ht="16" x14ac:dyDescent="0.2">
      <c r="B94" s="329" t="s">
        <v>143</v>
      </c>
      <c r="C94" s="330"/>
      <c r="D94" s="330"/>
      <c r="E94" s="331"/>
      <c r="F94" s="168"/>
      <c r="G94" s="266"/>
      <c r="H94" s="1"/>
      <c r="I94" s="266"/>
      <c r="J94" s="243"/>
      <c r="K94" s="74"/>
      <c r="L94" s="74"/>
      <c r="M94" s="74"/>
      <c r="N94" s="74"/>
      <c r="O94" s="74"/>
      <c r="Q94" s="208" t="str">
        <f t="shared" ref="Q94:Q97" si="9">IF($F94&lt;&gt;"","31000","")</f>
        <v/>
      </c>
      <c r="R94" s="185" t="str">
        <f t="shared" si="7"/>
        <v/>
      </c>
      <c r="S94" s="185" t="str">
        <f>IF($F94&lt;&gt;"",_xlfn.XLOOKUP($B94,TAccnt[Item],TAccnt[Account Code],"",0,1),"")</f>
        <v/>
      </c>
      <c r="T94" s="185" t="str">
        <f t="shared" ref="T94:T97" si="10">IF($F94&lt;&gt;"","98001","")</f>
        <v/>
      </c>
      <c r="U94" s="1" t="str" cm="1">
        <f t="array" ref="U94">IF(F94&lt;&gt;"",Indices2Class($E$8,"ICR"),"")</f>
        <v/>
      </c>
      <c r="V94" s="185" t="str">
        <f t="shared" ref="V94:V97" si="11">IF($F94&lt;&gt;"","305104","")</f>
        <v/>
      </c>
      <c r="W94" s="244" t="str">
        <f t="shared" si="8"/>
        <v/>
      </c>
    </row>
    <row r="95" spans="2:34" ht="16" x14ac:dyDescent="0.2">
      <c r="B95" s="329" t="s">
        <v>144</v>
      </c>
      <c r="C95" s="330"/>
      <c r="D95" s="330"/>
      <c r="E95" s="331"/>
      <c r="F95" s="168"/>
      <c r="H95" s="1"/>
      <c r="I95" s="266"/>
      <c r="J95" s="243"/>
      <c r="K95" s="74"/>
      <c r="Q95" s="211" t="str">
        <f t="shared" si="9"/>
        <v/>
      </c>
      <c r="R95" s="212" t="str">
        <f t="shared" si="7"/>
        <v/>
      </c>
      <c r="S95" s="212" t="str">
        <f>IF($F95&lt;&gt;"",_xlfn.XLOOKUP($B95,TAccnt[Item],TAccnt[Account Code],"",0,1),"")</f>
        <v/>
      </c>
      <c r="T95" s="212" t="str">
        <f t="shared" si="10"/>
        <v/>
      </c>
      <c r="U95" s="213" t="str" cm="1">
        <f t="array" ref="U95">IF(F95&lt;&gt;"",Indices2Class($E$8,"ICR"),"")</f>
        <v/>
      </c>
      <c r="V95" s="212" t="str">
        <f t="shared" si="11"/>
        <v/>
      </c>
      <c r="W95" s="245" t="str">
        <f t="shared" si="8"/>
        <v/>
      </c>
    </row>
    <row r="96" spans="2:34" ht="16" x14ac:dyDescent="0.2">
      <c r="B96" s="329" t="s">
        <v>145</v>
      </c>
      <c r="C96" s="330"/>
      <c r="D96" s="330"/>
      <c r="E96" s="331"/>
      <c r="F96" s="168"/>
      <c r="H96" s="1"/>
      <c r="I96" s="266"/>
      <c r="J96" s="243"/>
      <c r="K96" s="74"/>
      <c r="Q96" s="208" t="str">
        <f t="shared" si="9"/>
        <v/>
      </c>
      <c r="R96" s="185" t="str">
        <f t="shared" si="7"/>
        <v/>
      </c>
      <c r="S96" s="185" t="str">
        <f>IF($F96&lt;&gt;"",_xlfn.XLOOKUP($B96,TAccnt[Item],TAccnt[Account Code],"",0,1),"")</f>
        <v/>
      </c>
      <c r="T96" s="185" t="str">
        <f t="shared" si="10"/>
        <v/>
      </c>
      <c r="U96" s="1" t="str" cm="1">
        <f t="array" ref="U96">IF(F96&lt;&gt;"",Indices2Class($E$8,"ICR"),"")</f>
        <v/>
      </c>
      <c r="V96" s="185" t="str">
        <f t="shared" si="11"/>
        <v/>
      </c>
      <c r="W96" s="244" t="str">
        <f t="shared" si="8"/>
        <v/>
      </c>
    </row>
    <row r="97" spans="1:26" ht="17" thickBot="1" x14ac:dyDescent="0.25">
      <c r="B97" s="366" t="s">
        <v>146</v>
      </c>
      <c r="C97" s="367"/>
      <c r="D97" s="367"/>
      <c r="E97" s="368"/>
      <c r="F97" s="167"/>
      <c r="H97" s="1"/>
      <c r="I97" s="266"/>
      <c r="J97" s="243"/>
      <c r="K97" s="74"/>
      <c r="Q97" s="217" t="str">
        <f t="shared" si="9"/>
        <v/>
      </c>
      <c r="R97" s="218" t="str">
        <f t="shared" si="7"/>
        <v/>
      </c>
      <c r="S97" s="218" t="str">
        <f>IF($F97&lt;&gt;"",_xlfn.XLOOKUP($B97,TAccnt[Item],TAccnt[Account Code],"",0,1),"")</f>
        <v/>
      </c>
      <c r="T97" s="218" t="str">
        <f t="shared" si="10"/>
        <v/>
      </c>
      <c r="U97" s="219" t="str" cm="1">
        <f t="array" ref="U97">IF(F97&lt;&gt;"",Indices2Class($E$8,"ICR"),"")</f>
        <v/>
      </c>
      <c r="V97" s="218" t="str">
        <f t="shared" si="11"/>
        <v/>
      </c>
      <c r="W97" s="246" t="str">
        <f t="shared" si="8"/>
        <v/>
      </c>
    </row>
    <row r="98" spans="1:26" ht="15" x14ac:dyDescent="0.2">
      <c r="C98" s="247"/>
      <c r="D98" s="247"/>
      <c r="E98" s="189"/>
      <c r="F98" s="263"/>
      <c r="G98" s="264"/>
      <c r="H98" s="264"/>
      <c r="I98" s="264"/>
    </row>
    <row r="99" spans="1:26" ht="15" x14ac:dyDescent="0.2">
      <c r="C99" s="247"/>
      <c r="D99" s="247"/>
      <c r="E99" s="189"/>
      <c r="F99" s="263"/>
      <c r="G99" s="264"/>
      <c r="H99" s="264"/>
      <c r="I99" s="264"/>
    </row>
    <row r="100" spans="1:26" ht="17" thickBot="1" x14ac:dyDescent="0.25">
      <c r="B100" s="191" t="s">
        <v>193</v>
      </c>
      <c r="C100" s="247"/>
      <c r="D100" s="247"/>
      <c r="E100" s="267"/>
      <c r="F100" s="268"/>
      <c r="G100" s="269"/>
      <c r="H100" s="269"/>
      <c r="I100" s="269"/>
    </row>
    <row r="101" spans="1:26" ht="17" thickBot="1" x14ac:dyDescent="0.25">
      <c r="B101" s="270"/>
      <c r="C101" s="271"/>
      <c r="D101" s="250" t="s">
        <v>181</v>
      </c>
      <c r="E101" s="343" t="s">
        <v>194</v>
      </c>
      <c r="F101" s="344"/>
      <c r="G101" s="344"/>
      <c r="H101" s="344"/>
      <c r="I101" s="345"/>
    </row>
    <row r="102" spans="1:26" ht="16" x14ac:dyDescent="0.2">
      <c r="B102" s="258" t="s">
        <v>195</v>
      </c>
      <c r="C102" s="259"/>
      <c r="D102" s="150"/>
      <c r="E102" s="346"/>
      <c r="F102" s="347"/>
      <c r="G102" s="347"/>
      <c r="H102" s="347"/>
      <c r="I102" s="348"/>
    </row>
    <row r="103" spans="1:26" ht="17" thickBot="1" x14ac:dyDescent="0.25">
      <c r="B103" s="260" t="s">
        <v>196</v>
      </c>
      <c r="C103" s="261"/>
      <c r="D103" s="290"/>
      <c r="E103" s="349"/>
      <c r="F103" s="350"/>
      <c r="G103" s="350"/>
      <c r="H103" s="350"/>
      <c r="I103" s="351"/>
    </row>
    <row r="104" spans="1:26" ht="17" thickBot="1" x14ac:dyDescent="0.25">
      <c r="B104" s="272"/>
      <c r="C104" s="272"/>
      <c r="D104" s="272"/>
      <c r="E104" s="272"/>
      <c r="F104" s="273"/>
      <c r="G104" s="264"/>
      <c r="H104" s="264"/>
      <c r="I104" s="264"/>
    </row>
    <row r="105" spans="1:26" ht="14.75" customHeight="1" thickTop="1" x14ac:dyDescent="0.15">
      <c r="A105" s="274"/>
      <c r="B105" s="352" t="s">
        <v>197</v>
      </c>
      <c r="C105" s="354"/>
      <c r="D105" s="355"/>
      <c r="E105" s="355"/>
      <c r="F105" s="355"/>
      <c r="G105" s="355"/>
      <c r="H105" s="355"/>
      <c r="I105" s="356"/>
      <c r="J105" s="295"/>
    </row>
    <row r="106" spans="1:26" ht="14" customHeight="1" thickBot="1" x14ac:dyDescent="0.2">
      <c r="A106" s="274"/>
      <c r="B106" s="353"/>
      <c r="C106" s="357"/>
      <c r="D106" s="358"/>
      <c r="E106" s="358"/>
      <c r="F106" s="358"/>
      <c r="G106" s="358"/>
      <c r="H106" s="358"/>
      <c r="I106" s="359"/>
      <c r="J106" s="295"/>
    </row>
    <row r="107" spans="1:26" ht="16" thickTop="1" x14ac:dyDescent="0.2">
      <c r="C107" s="275"/>
      <c r="D107" s="275"/>
      <c r="E107" s="276"/>
      <c r="F107" s="277"/>
      <c r="G107" s="278"/>
      <c r="H107" s="278"/>
      <c r="I107" s="278"/>
    </row>
    <row r="108" spans="1:26" ht="15" x14ac:dyDescent="0.2">
      <c r="C108" s="247"/>
      <c r="D108" s="247"/>
      <c r="E108" s="189"/>
      <c r="F108" s="263"/>
      <c r="G108" s="264"/>
      <c r="H108" s="264"/>
      <c r="I108" s="264"/>
    </row>
    <row r="109" spans="1:26" ht="15" x14ac:dyDescent="0.2">
      <c r="C109" s="247"/>
      <c r="D109" s="247"/>
      <c r="E109" s="189"/>
      <c r="F109" s="263"/>
      <c r="G109" s="264"/>
      <c r="H109" s="264"/>
      <c r="I109" s="264"/>
    </row>
    <row r="110" spans="1:26" ht="16" x14ac:dyDescent="0.2">
      <c r="B110" s="272" t="s">
        <v>198</v>
      </c>
      <c r="C110" s="247"/>
      <c r="D110" s="247"/>
      <c r="E110" s="189"/>
      <c r="F110" s="263"/>
      <c r="G110" s="264"/>
      <c r="H110" s="264"/>
      <c r="I110" s="264"/>
      <c r="Q110" s="272" t="s">
        <v>199</v>
      </c>
      <c r="R110" s="247"/>
      <c r="S110" s="247"/>
      <c r="T110" s="189"/>
      <c r="U110" s="263"/>
      <c r="V110" s="264"/>
      <c r="W110" s="264"/>
      <c r="X110" s="264"/>
    </row>
    <row r="111" spans="1:26" x14ac:dyDescent="0.15">
      <c r="S111"/>
    </row>
    <row r="112" spans="1:26" x14ac:dyDescent="0.15">
      <c r="F112" s="53" t="s">
        <v>200</v>
      </c>
      <c r="G112" s="54"/>
      <c r="H112" s="54"/>
      <c r="I112" s="55"/>
      <c r="J112" s="384" t="s">
        <v>201</v>
      </c>
      <c r="K112" s="385"/>
      <c r="S112"/>
      <c r="U112" s="53" t="s">
        <v>200</v>
      </c>
      <c r="V112" s="54"/>
      <c r="W112" s="54"/>
      <c r="X112" s="55"/>
      <c r="Y112" s="52" t="s">
        <v>201</v>
      </c>
      <c r="Z112" s="60"/>
    </row>
    <row r="113" spans="2:26" x14ac:dyDescent="0.15">
      <c r="B113" s="6" t="s">
        <v>202</v>
      </c>
      <c r="C113" s="7"/>
      <c r="D113" s="7"/>
      <c r="E113" s="7"/>
      <c r="F113" s="8"/>
      <c r="G113" s="8"/>
      <c r="H113" s="9"/>
      <c r="I113" s="80"/>
      <c r="J113" s="296"/>
      <c r="K113" s="59"/>
      <c r="Q113" s="6" t="s">
        <v>202</v>
      </c>
      <c r="R113" s="7"/>
      <c r="S113" s="7"/>
      <c r="T113" s="7"/>
      <c r="U113" s="8"/>
      <c r="V113" s="8"/>
      <c r="W113" s="9"/>
      <c r="X113" s="80"/>
      <c r="Y113" s="7"/>
      <c r="Z113" s="59"/>
    </row>
    <row r="114" spans="2:26" x14ac:dyDescent="0.15">
      <c r="B114" s="12"/>
      <c r="C114" s="43"/>
      <c r="D114" s="43"/>
      <c r="E114" s="56"/>
      <c r="F114" s="57" t="s">
        <v>203</v>
      </c>
      <c r="G114" s="57" t="s">
        <v>204</v>
      </c>
      <c r="H114" s="57" t="s">
        <v>205</v>
      </c>
      <c r="I114" s="126"/>
      <c r="J114" s="386" t="s">
        <v>206</v>
      </c>
      <c r="K114" s="387"/>
      <c r="Q114" s="12"/>
      <c r="R114" s="43"/>
      <c r="S114" s="43"/>
      <c r="T114" s="56"/>
      <c r="U114" s="57" t="s">
        <v>203</v>
      </c>
      <c r="V114" s="57" t="s">
        <v>204</v>
      </c>
      <c r="W114" s="57" t="s">
        <v>205</v>
      </c>
      <c r="X114" s="126"/>
      <c r="Y114" s="61" t="s">
        <v>207</v>
      </c>
      <c r="Z114" s="61" t="s">
        <v>208</v>
      </c>
    </row>
    <row r="115" spans="2:26" x14ac:dyDescent="0.15">
      <c r="B115" s="32" t="s">
        <v>209</v>
      </c>
      <c r="C115" s="30"/>
      <c r="D115" s="30"/>
      <c r="E115" s="47"/>
      <c r="F115" s="13" t="s">
        <v>210</v>
      </c>
      <c r="G115" s="14"/>
      <c r="H115" s="13" t="s">
        <v>211</v>
      </c>
      <c r="I115" s="126"/>
      <c r="J115" s="61" t="s">
        <v>207</v>
      </c>
      <c r="K115" s="61" t="s">
        <v>208</v>
      </c>
      <c r="Q115" s="32" t="s">
        <v>209</v>
      </c>
      <c r="R115" s="30"/>
      <c r="S115" s="30"/>
      <c r="T115" s="47"/>
      <c r="U115" s="13" t="s">
        <v>210</v>
      </c>
      <c r="V115" s="14"/>
      <c r="W115" s="13" t="s">
        <v>211</v>
      </c>
      <c r="X115" s="126"/>
      <c r="Y115" s="108" t="s">
        <v>206</v>
      </c>
      <c r="Z115" s="108" t="s">
        <v>206</v>
      </c>
    </row>
    <row r="116" spans="2:26" x14ac:dyDescent="0.15">
      <c r="B116" s="29" t="s">
        <v>212</v>
      </c>
      <c r="C116" s="30"/>
      <c r="D116" s="30"/>
      <c r="E116" s="47"/>
      <c r="F116" s="81">
        <f>SUMIF(SandBHQP4[HQP Status],Dropdown!D7,SandBHQP4[Salary &amp; Benefits])</f>
        <v>0</v>
      </c>
      <c r="G116" s="81">
        <f>SUMIF(SandBHQP4[HQP Status],Dropdown!D11,SandBHQP4[Salary &amp; Benefits])</f>
        <v>0</v>
      </c>
      <c r="H116" s="81">
        <f>SUM(F116:G116)</f>
        <v>0</v>
      </c>
      <c r="I116" s="127"/>
      <c r="J116" s="297"/>
      <c r="K116" s="136"/>
      <c r="Q116" s="29" t="s">
        <v>212</v>
      </c>
      <c r="R116" s="30"/>
      <c r="S116" s="30"/>
      <c r="T116" s="47"/>
      <c r="U116" s="81">
        <f>SUMIF(SandBHQP4[HQP Status],Dropdown!D7,SandBHQP4[Salary &amp; Benefits])</f>
        <v>0</v>
      </c>
      <c r="V116" s="81">
        <f>SUMIF(SandBHQP4[HQP Status],Dropdown!D11,SandBHQP4[Salary &amp; Benefits])</f>
        <v>0</v>
      </c>
      <c r="W116" s="81">
        <f>SUM(U116:V116)</f>
        <v>0</v>
      </c>
      <c r="X116" s="127"/>
      <c r="Y116" s="136"/>
      <c r="Z116" s="136"/>
    </row>
    <row r="117" spans="2:26" x14ac:dyDescent="0.15">
      <c r="B117" s="16" t="s">
        <v>213</v>
      </c>
      <c r="C117" s="17"/>
      <c r="D117" s="17"/>
      <c r="E117" s="18"/>
      <c r="F117" s="81">
        <f>SUMIF(SandBHQP4[HQP Status],Dropdown!D8,SandBHQP4[Salary &amp; Benefits])</f>
        <v>0</v>
      </c>
      <c r="G117" s="81">
        <f>SUMIF(SandBHQP4[HQP Status],Dropdown!D12,SandBHQP4[Salary &amp; Benefits])</f>
        <v>0</v>
      </c>
      <c r="H117" s="81">
        <f>SUM(F117:G117)</f>
        <v>0</v>
      </c>
      <c r="I117" s="127"/>
      <c r="J117" s="297"/>
      <c r="K117" s="136"/>
      <c r="Q117" s="16" t="s">
        <v>213</v>
      </c>
      <c r="R117" s="17"/>
      <c r="S117" s="17"/>
      <c r="T117" s="18"/>
      <c r="U117" s="81">
        <f>SUMIF(SandBHQP4[HQP Status],Dropdown!D8,SandBHQP4[Salary &amp; Benefits])</f>
        <v>0</v>
      </c>
      <c r="V117" s="81">
        <f>SUMIF(SandBHQP4[HQP Status],Dropdown!D12,SandBHQP4[Salary &amp; Benefits])</f>
        <v>0</v>
      </c>
      <c r="W117" s="81">
        <f>SUM(U117:V117)</f>
        <v>0</v>
      </c>
      <c r="X117" s="127"/>
      <c r="Y117" s="136"/>
      <c r="Z117" s="136"/>
    </row>
    <row r="118" spans="2:26" x14ac:dyDescent="0.15">
      <c r="B118" s="16" t="s">
        <v>214</v>
      </c>
      <c r="C118" s="17"/>
      <c r="D118" s="17"/>
      <c r="E118" s="18"/>
      <c r="F118" s="81">
        <f>SUMIF(SandBHQP4[HQP Status],Dropdown!D9,SandBHQP4[Salary &amp; Benefits])</f>
        <v>0</v>
      </c>
      <c r="G118" s="81">
        <f>SUMIF(SandBHQP4[HQP Status],Dropdown!D13,SandBHQP4[Salary &amp; Benefits])</f>
        <v>0</v>
      </c>
      <c r="H118" s="81">
        <f>SUM(F118:G118)</f>
        <v>0</v>
      </c>
      <c r="I118" s="127"/>
      <c r="J118" s="297"/>
      <c r="K118" s="136"/>
      <c r="Q118" s="16" t="s">
        <v>214</v>
      </c>
      <c r="R118" s="17"/>
      <c r="S118" s="17"/>
      <c r="T118" s="18"/>
      <c r="U118" s="81">
        <f>SUMIF(SandBHQP4[HQP Status],Dropdown!D9,SandBHQP4[Salary &amp; Benefits])</f>
        <v>0</v>
      </c>
      <c r="V118" s="81">
        <f>SUMIF(SandBHQP4[HQP Status],Dropdown!D13,SandBHQP4[Salary &amp; Benefits])</f>
        <v>0</v>
      </c>
      <c r="W118" s="81">
        <f>SUM(U118:V118)</f>
        <v>0</v>
      </c>
      <c r="X118" s="127"/>
      <c r="Y118" s="136"/>
      <c r="Z118" s="136"/>
    </row>
    <row r="119" spans="2:26" x14ac:dyDescent="0.15">
      <c r="B119" s="19" t="s">
        <v>215</v>
      </c>
      <c r="C119" s="17"/>
      <c r="D119" s="17"/>
      <c r="E119" s="20"/>
      <c r="F119" s="82"/>
      <c r="G119" s="83"/>
      <c r="H119" s="84"/>
      <c r="I119" s="127"/>
      <c r="J119" s="298"/>
      <c r="K119" s="110"/>
      <c r="Q119" s="19" t="s">
        <v>215</v>
      </c>
      <c r="R119" s="17"/>
      <c r="S119" s="17"/>
      <c r="T119" s="20"/>
      <c r="U119" s="82"/>
      <c r="V119" s="83"/>
      <c r="W119" s="84"/>
      <c r="X119" s="127"/>
      <c r="Y119" s="110"/>
      <c r="Z119" s="110"/>
    </row>
    <row r="120" spans="2:26" x14ac:dyDescent="0.15">
      <c r="B120" s="16" t="s">
        <v>216</v>
      </c>
      <c r="C120" s="17"/>
      <c r="D120" s="17"/>
      <c r="E120" s="18"/>
      <c r="F120" s="81">
        <f>SUMIF(SandBHQP4[HQP Status],Dropdown!D10,$F$21:$F$37)</f>
        <v>0</v>
      </c>
      <c r="G120" s="81">
        <f>SUMIF(SandBHQP4[HQP Status],Dropdown!D14,SandBHQP4[Salary &amp; Benefits])</f>
        <v>0</v>
      </c>
      <c r="H120" s="81">
        <f>SUM(F120:G120)</f>
        <v>0</v>
      </c>
      <c r="I120" s="127"/>
      <c r="J120" s="297"/>
      <c r="K120" s="136"/>
      <c r="Q120" s="16" t="s">
        <v>216</v>
      </c>
      <c r="R120" s="17"/>
      <c r="S120" s="17"/>
      <c r="T120" s="18"/>
      <c r="U120" s="81">
        <f>SUMIF(SandBHQP4[HQP Status],Dropdown!D10,$F$21:$F$37)</f>
        <v>0</v>
      </c>
      <c r="V120" s="81">
        <f>SUMIF(SandBHQP4[HQP Status],Dropdown!D14,SandBHQP4[Salary &amp; Benefits])</f>
        <v>0</v>
      </c>
      <c r="W120" s="81">
        <f>SUM(U120:V120)</f>
        <v>0</v>
      </c>
      <c r="X120" s="127"/>
      <c r="Y120" s="136"/>
      <c r="Z120" s="136"/>
    </row>
    <row r="121" spans="2:26" x14ac:dyDescent="0.15">
      <c r="B121" s="16" t="s">
        <v>217</v>
      </c>
      <c r="C121" s="17"/>
      <c r="D121" s="17"/>
      <c r="E121" s="20"/>
      <c r="F121" s="85"/>
      <c r="G121" s="86"/>
      <c r="H121" s="81">
        <f>SUMIF(SandBTech6[Role],Dropdown!D21,SandBTech6[Salary &amp; Benefits])</f>
        <v>0</v>
      </c>
      <c r="I121" s="127"/>
      <c r="J121" s="297"/>
      <c r="K121" s="136"/>
      <c r="Q121" s="16" t="s">
        <v>217</v>
      </c>
      <c r="R121" s="17"/>
      <c r="S121" s="17"/>
      <c r="T121" s="20"/>
      <c r="U121" s="85"/>
      <c r="V121" s="86"/>
      <c r="W121" s="81">
        <f>SUMIF(SandBTech6[Role],Dropdown!D21,SandBTech6[Salary &amp; Benefits])</f>
        <v>0</v>
      </c>
      <c r="X121" s="127"/>
      <c r="Y121" s="136"/>
      <c r="Z121" s="136"/>
    </row>
    <row r="122" spans="2:26" x14ac:dyDescent="0.15">
      <c r="B122" s="16" t="s">
        <v>218</v>
      </c>
      <c r="C122" s="17"/>
      <c r="D122" s="17"/>
      <c r="E122" s="20"/>
      <c r="F122" s="87"/>
      <c r="G122" s="88"/>
      <c r="H122" s="81">
        <f>SUMIF(SandBTech6[Role],Dropdown!D18,SandBTech6[Salary &amp; Benefits])+SUMIF(SandBTech6[Role],Dropdown!D19,SandBTech6[Salary &amp; Benefits])+SUMIF(SandBTech6[Role],Dropdown!D20,SandBTech6[Salary &amp; Benefits])</f>
        <v>0</v>
      </c>
      <c r="I122" s="127"/>
      <c r="J122" s="297"/>
      <c r="K122" s="136"/>
      <c r="Q122" s="16" t="s">
        <v>218</v>
      </c>
      <c r="R122" s="17"/>
      <c r="S122" s="17"/>
      <c r="T122" s="20"/>
      <c r="U122" s="87"/>
      <c r="V122" s="88"/>
      <c r="W122" s="81">
        <f>SUMIF(SandBTech6[Role],Dropdown!D18,SandBTech6[Salary &amp; Benefits])+SUMIF(SandBTech6[Role],Dropdown!D19,SandBTech6[Salary &amp; Benefits])+SUMIF(SandBTech6[Role],Dropdown!D20,SandBTech6[Salary &amp; Benefits])</f>
        <v>0</v>
      </c>
      <c r="X122" s="127"/>
      <c r="Y122" s="136"/>
      <c r="Z122" s="136"/>
    </row>
    <row r="123" spans="2:26" x14ac:dyDescent="0.15">
      <c r="B123" s="16" t="s">
        <v>219</v>
      </c>
      <c r="C123" s="17"/>
      <c r="D123" s="17"/>
      <c r="E123" s="20"/>
      <c r="F123" s="82"/>
      <c r="G123" s="83"/>
      <c r="H123" s="81">
        <f>SUMIF(SandBTech6[Role],Dropdown!D22,SandBTech6[Salary &amp; Benefits])</f>
        <v>0</v>
      </c>
      <c r="I123" s="127"/>
      <c r="J123" s="297"/>
      <c r="K123" s="136"/>
      <c r="Q123" s="16" t="s">
        <v>219</v>
      </c>
      <c r="R123" s="17"/>
      <c r="S123" s="17"/>
      <c r="T123" s="20"/>
      <c r="U123" s="82"/>
      <c r="V123" s="83"/>
      <c r="W123" s="81">
        <f>SUMIF(SandBTech6[Role],Dropdown!D22,SandBTech6[Salary &amp; Benefits])</f>
        <v>0</v>
      </c>
      <c r="X123" s="127"/>
      <c r="Y123" s="136"/>
      <c r="Z123" s="136"/>
    </row>
    <row r="124" spans="2:26" x14ac:dyDescent="0.15">
      <c r="B124" s="16" t="s">
        <v>220</v>
      </c>
      <c r="C124" s="17"/>
      <c r="D124" s="17"/>
      <c r="E124" s="20"/>
      <c r="F124" s="82"/>
      <c r="G124" s="83"/>
      <c r="H124" s="81">
        <f>SUMIF(SandBTech6[Role],Dropdown!D23,SandBTech6[Salary &amp; Benefits])</f>
        <v>0</v>
      </c>
      <c r="I124" s="127"/>
      <c r="J124" s="297"/>
      <c r="K124" s="136"/>
      <c r="Q124" s="16" t="s">
        <v>220</v>
      </c>
      <c r="R124" s="17"/>
      <c r="S124" s="17"/>
      <c r="T124" s="20"/>
      <c r="U124" s="82"/>
      <c r="V124" s="83"/>
      <c r="W124" s="81">
        <f>SUMIF(SandBTech6[Role],Dropdown!D23,SandBTech6[Salary &amp; Benefits])</f>
        <v>0</v>
      </c>
      <c r="X124" s="127"/>
      <c r="Y124" s="136"/>
      <c r="Z124" s="136"/>
    </row>
    <row r="125" spans="2:26" x14ac:dyDescent="0.15">
      <c r="B125" s="19" t="s">
        <v>221</v>
      </c>
      <c r="C125" s="17"/>
      <c r="D125" s="17"/>
      <c r="E125" s="20"/>
      <c r="F125" s="82"/>
      <c r="G125" s="83"/>
      <c r="H125" s="84"/>
      <c r="I125" s="127"/>
      <c r="J125" s="298"/>
      <c r="K125" s="110"/>
      <c r="Q125" s="19" t="s">
        <v>221</v>
      </c>
      <c r="R125" s="17"/>
      <c r="S125" s="17"/>
      <c r="T125" s="20"/>
      <c r="U125" s="82"/>
      <c r="V125" s="83"/>
      <c r="W125" s="84"/>
      <c r="X125" s="127"/>
      <c r="Y125" s="110"/>
      <c r="Z125" s="110"/>
    </row>
    <row r="126" spans="2:26" x14ac:dyDescent="0.15">
      <c r="B126" s="16" t="s">
        <v>222</v>
      </c>
      <c r="C126" s="17"/>
      <c r="D126" s="17"/>
      <c r="E126" s="20"/>
      <c r="F126" s="82"/>
      <c r="G126" s="83"/>
      <c r="H126" s="81">
        <f>SUMIF(SandBIPDC5[Role],Dropdown!D29,SandBIPDC5[Salary &amp; Benefits])</f>
        <v>0</v>
      </c>
      <c r="I126" s="127"/>
      <c r="J126" s="297"/>
      <c r="K126" s="136"/>
      <c r="Q126" s="16" t="s">
        <v>222</v>
      </c>
      <c r="R126" s="17"/>
      <c r="S126" s="17"/>
      <c r="T126" s="20"/>
      <c r="U126" s="82"/>
      <c r="V126" s="83"/>
      <c r="W126" s="81">
        <f>SUMIF(SandBIPDC5[Role],Dropdown!D29,SandBIPDC5[Salary &amp; Benefits])</f>
        <v>0</v>
      </c>
      <c r="X126" s="127"/>
      <c r="Y126" s="136"/>
      <c r="Z126" s="136"/>
    </row>
    <row r="127" spans="2:26" x14ac:dyDescent="0.15">
      <c r="B127" s="16" t="s">
        <v>223</v>
      </c>
      <c r="C127" s="17"/>
      <c r="D127" s="17"/>
      <c r="E127" s="20"/>
      <c r="F127" s="82"/>
      <c r="G127" s="83"/>
      <c r="H127" s="81">
        <f>SUMIF(SandBIPDC5[Role],Dropdown!D26,SandBIPDC5[Salary &amp; Benefits])+SUMIF(SandBIPDC5[Role],Dropdown!D27,SandBIPDC5[Salary &amp; Benefits])+SUMIF(SandBIPDC5[Role],Dropdown!D28,SandBIPDC5[Salary &amp; Benefits])</f>
        <v>0</v>
      </c>
      <c r="I127" s="127"/>
      <c r="J127" s="297"/>
      <c r="K127" s="136"/>
      <c r="Q127" s="16" t="s">
        <v>223</v>
      </c>
      <c r="R127" s="17"/>
      <c r="S127" s="17"/>
      <c r="T127" s="20"/>
      <c r="U127" s="82"/>
      <c r="V127" s="83"/>
      <c r="W127" s="81">
        <f>SUMIF(SandBIPDC5[Role],Dropdown!D26,SandBIPDC5[Salary &amp; Benefits])+SUMIF(SandBIPDC5[Role],Dropdown!D27,SandBIPDC5[Salary &amp; Benefits])+SUMIF(SandBIPDC5[Role],Dropdown!D28,SandBIPDC5[Salary &amp; Benefits])</f>
        <v>0</v>
      </c>
      <c r="X127" s="127"/>
      <c r="Y127" s="136"/>
      <c r="Z127" s="136"/>
    </row>
    <row r="128" spans="2:26" x14ac:dyDescent="0.15">
      <c r="B128" s="16" t="s">
        <v>224</v>
      </c>
      <c r="C128" s="17"/>
      <c r="D128" s="17"/>
      <c r="E128" s="20"/>
      <c r="F128" s="82"/>
      <c r="G128" s="83"/>
      <c r="H128" s="81">
        <f>SUMIF(SandBIPDC5[Role],Dropdown!D30,SandBIPDC5[Salary &amp; Benefits])</f>
        <v>0</v>
      </c>
      <c r="I128" s="127"/>
      <c r="J128" s="297"/>
      <c r="K128" s="136"/>
      <c r="Q128" s="16" t="s">
        <v>224</v>
      </c>
      <c r="R128" s="17"/>
      <c r="S128" s="17"/>
      <c r="T128" s="20"/>
      <c r="U128" s="82"/>
      <c r="V128" s="83"/>
      <c r="W128" s="81">
        <f>SUMIF(SandBIPDC5[Role],Dropdown!D30,SandBIPDC5[Salary &amp; Benefits])</f>
        <v>0</v>
      </c>
      <c r="X128" s="127"/>
      <c r="Y128" s="136"/>
      <c r="Z128" s="136"/>
    </row>
    <row r="129" spans="2:26" x14ac:dyDescent="0.15">
      <c r="B129" s="24" t="s">
        <v>225</v>
      </c>
      <c r="C129" s="17"/>
      <c r="D129" s="17"/>
      <c r="E129" s="89"/>
      <c r="F129" s="82"/>
      <c r="G129" s="85"/>
      <c r="H129" s="90">
        <f>SUM(H116:H118,H120:H128)</f>
        <v>0</v>
      </c>
      <c r="I129" s="128"/>
      <c r="J129" s="299"/>
      <c r="K129" s="111"/>
      <c r="Q129" s="24" t="s">
        <v>225</v>
      </c>
      <c r="R129" s="17"/>
      <c r="S129" s="17"/>
      <c r="T129" s="89"/>
      <c r="U129" s="82"/>
      <c r="V129" s="85"/>
      <c r="W129" s="90">
        <f>SUM(W116:W118,W120:W128)</f>
        <v>0</v>
      </c>
      <c r="X129" s="128"/>
      <c r="Y129" s="111"/>
      <c r="Z129" s="111"/>
    </row>
    <row r="130" spans="2:26" x14ac:dyDescent="0.15">
      <c r="B130" s="19" t="s">
        <v>226</v>
      </c>
      <c r="C130" s="17"/>
      <c r="D130" s="17"/>
      <c r="E130" s="17"/>
      <c r="F130" s="82"/>
      <c r="G130" s="82"/>
      <c r="H130" s="81">
        <f>F72</f>
        <v>0</v>
      </c>
      <c r="I130" s="128"/>
      <c r="J130" s="297"/>
      <c r="K130" s="136"/>
      <c r="Q130" s="19" t="s">
        <v>226</v>
      </c>
      <c r="R130" s="17"/>
      <c r="S130" s="17"/>
      <c r="T130" s="17"/>
      <c r="U130" s="82"/>
      <c r="V130" s="82"/>
      <c r="W130" s="81">
        <f>F72</f>
        <v>0</v>
      </c>
      <c r="X130" s="128"/>
      <c r="Y130" s="136"/>
      <c r="Z130" s="136"/>
    </row>
    <row r="131" spans="2:26" x14ac:dyDescent="0.15">
      <c r="B131" s="19" t="s">
        <v>227</v>
      </c>
      <c r="C131" s="17"/>
      <c r="D131" s="17"/>
      <c r="E131" s="17"/>
      <c r="F131" s="82"/>
      <c r="G131" s="82"/>
      <c r="H131" s="81">
        <f>SUM(F73:F77)</f>
        <v>0</v>
      </c>
      <c r="I131" s="128"/>
      <c r="J131" s="297"/>
      <c r="K131" s="136"/>
      <c r="Q131" s="19" t="s">
        <v>228</v>
      </c>
      <c r="R131" s="17"/>
      <c r="S131" s="17"/>
      <c r="T131" s="17"/>
      <c r="U131" s="82"/>
      <c r="V131" s="82"/>
      <c r="W131" s="81">
        <f>F73+F74</f>
        <v>0</v>
      </c>
      <c r="X131" s="128"/>
      <c r="Y131" s="136"/>
      <c r="Z131" s="136"/>
    </row>
    <row r="132" spans="2:26" x14ac:dyDescent="0.15">
      <c r="B132" s="10" t="s">
        <v>229</v>
      </c>
      <c r="C132" s="11"/>
      <c r="D132" s="11"/>
      <c r="E132" s="11"/>
      <c r="F132" s="91"/>
      <c r="G132" s="91"/>
      <c r="H132" s="81">
        <f>F78</f>
        <v>0</v>
      </c>
      <c r="I132" s="128"/>
      <c r="J132" s="297"/>
      <c r="K132" s="136"/>
      <c r="Q132" s="19" t="s">
        <v>230</v>
      </c>
      <c r="R132" s="17"/>
      <c r="S132" s="17"/>
      <c r="T132" s="17"/>
      <c r="U132" s="82"/>
      <c r="V132" s="82"/>
      <c r="W132" s="81">
        <f>F75</f>
        <v>0</v>
      </c>
      <c r="X132" s="128"/>
      <c r="Y132" s="136"/>
      <c r="Z132" s="136"/>
    </row>
    <row r="133" spans="2:26" x14ac:dyDescent="0.15">
      <c r="B133" s="19" t="s">
        <v>231</v>
      </c>
      <c r="C133" s="11"/>
      <c r="D133" s="11"/>
      <c r="E133" s="11"/>
      <c r="F133" s="91"/>
      <c r="G133" s="91"/>
      <c r="H133" s="81">
        <f>F86+SUM(F83:F85)</f>
        <v>0</v>
      </c>
      <c r="I133" s="128"/>
      <c r="J133" s="297"/>
      <c r="K133" s="136"/>
      <c r="Q133" s="19" t="s">
        <v>232</v>
      </c>
      <c r="R133" s="17"/>
      <c r="S133" s="17"/>
      <c r="T133" s="17"/>
      <c r="U133" s="82"/>
      <c r="V133" s="82"/>
      <c r="W133" s="81">
        <f t="shared" ref="W133:W143" si="12">F76</f>
        <v>0</v>
      </c>
      <c r="X133" s="128"/>
      <c r="Y133" s="136"/>
      <c r="Z133" s="136"/>
    </row>
    <row r="134" spans="2:26" x14ac:dyDescent="0.15">
      <c r="B134" s="19" t="s">
        <v>233</v>
      </c>
      <c r="C134" s="17"/>
      <c r="D134" s="17"/>
      <c r="E134" s="17"/>
      <c r="F134" s="82"/>
      <c r="G134" s="82"/>
      <c r="H134" s="81">
        <f>SUM(F79:F82)</f>
        <v>0</v>
      </c>
      <c r="I134" s="128"/>
      <c r="J134" s="297"/>
      <c r="K134" s="136"/>
      <c r="Q134" s="19" t="s">
        <v>234</v>
      </c>
      <c r="R134" s="17"/>
      <c r="S134" s="17"/>
      <c r="T134" s="17"/>
      <c r="U134" s="82"/>
      <c r="V134" s="82"/>
      <c r="W134" s="81">
        <f t="shared" si="12"/>
        <v>0</v>
      </c>
      <c r="X134" s="128"/>
      <c r="Y134" s="136"/>
      <c r="Z134" s="136"/>
    </row>
    <row r="135" spans="2:26" x14ac:dyDescent="0.15">
      <c r="B135" s="62" t="s">
        <v>235</v>
      </c>
      <c r="C135" s="11"/>
      <c r="D135" s="11"/>
      <c r="E135" s="11"/>
      <c r="F135" s="279"/>
      <c r="G135" s="279"/>
      <c r="H135" s="280" t="s">
        <v>236</v>
      </c>
      <c r="I135" s="92">
        <f>ROUND(SUM(H129:H134),2)</f>
        <v>0</v>
      </c>
      <c r="J135" s="300">
        <f>D102</f>
        <v>0</v>
      </c>
      <c r="K135" s="109">
        <f>D103</f>
        <v>0</v>
      </c>
      <c r="Q135" s="10" t="s">
        <v>229</v>
      </c>
      <c r="R135" s="11"/>
      <c r="S135" s="11"/>
      <c r="T135" s="11"/>
      <c r="U135" s="91"/>
      <c r="V135" s="91"/>
      <c r="W135" s="81">
        <f t="shared" si="12"/>
        <v>0</v>
      </c>
      <c r="X135" s="128"/>
      <c r="Y135" s="136"/>
      <c r="Z135" s="136"/>
    </row>
    <row r="136" spans="2:26" x14ac:dyDescent="0.15">
      <c r="B136" s="62"/>
      <c r="C136" s="11"/>
      <c r="D136" s="11"/>
      <c r="E136" s="11"/>
      <c r="F136" s="279"/>
      <c r="G136" s="279"/>
      <c r="H136" s="281"/>
      <c r="I136" s="282"/>
      <c r="J136" s="301"/>
      <c r="K136" s="282"/>
      <c r="Q136" s="19" t="s">
        <v>237</v>
      </c>
      <c r="R136" s="17"/>
      <c r="S136" s="17"/>
      <c r="T136" s="17"/>
      <c r="U136" s="82"/>
      <c r="V136" s="82"/>
      <c r="W136" s="81">
        <f t="shared" si="12"/>
        <v>0</v>
      </c>
      <c r="X136" s="128"/>
      <c r="Y136" s="136"/>
      <c r="Z136" s="136"/>
    </row>
    <row r="137" spans="2:26" x14ac:dyDescent="0.15">
      <c r="B137" s="6" t="s">
        <v>238</v>
      </c>
      <c r="C137" s="8"/>
      <c r="D137" s="8"/>
      <c r="E137" s="8"/>
      <c r="F137" s="283"/>
      <c r="G137" s="283"/>
      <c r="H137" s="284"/>
      <c r="I137" s="80"/>
      <c r="J137" s="302"/>
      <c r="K137" s="114"/>
      <c r="Q137" s="19" t="s">
        <v>239</v>
      </c>
      <c r="R137" s="17"/>
      <c r="S137" s="17"/>
      <c r="T137" s="17"/>
      <c r="U137" s="82"/>
      <c r="V137" s="82"/>
      <c r="W137" s="81">
        <f t="shared" si="12"/>
        <v>0</v>
      </c>
      <c r="X137" s="128"/>
      <c r="Y137" s="136"/>
      <c r="Z137" s="136"/>
    </row>
    <row r="138" spans="2:26" x14ac:dyDescent="0.15">
      <c r="B138" s="29" t="s">
        <v>142</v>
      </c>
      <c r="C138" s="30"/>
      <c r="D138" s="30"/>
      <c r="E138" s="30"/>
      <c r="F138" s="285"/>
      <c r="G138" s="285"/>
      <c r="H138" s="81">
        <f>F93</f>
        <v>0</v>
      </c>
      <c r="I138" s="128"/>
      <c r="J138" s="297"/>
      <c r="K138" s="136"/>
      <c r="Q138" s="19" t="s">
        <v>240</v>
      </c>
      <c r="R138" s="17"/>
      <c r="S138" s="17"/>
      <c r="T138" s="17"/>
      <c r="U138" s="82"/>
      <c r="V138" s="82"/>
      <c r="W138" s="81">
        <f t="shared" si="12"/>
        <v>0</v>
      </c>
      <c r="X138" s="128"/>
      <c r="Y138" s="136"/>
      <c r="Z138" s="136"/>
    </row>
    <row r="139" spans="2:26" x14ac:dyDescent="0.15">
      <c r="B139" s="16" t="s">
        <v>143</v>
      </c>
      <c r="C139" s="17"/>
      <c r="D139" s="17"/>
      <c r="E139" s="17"/>
      <c r="F139" s="286"/>
      <c r="G139" s="286"/>
      <c r="H139" s="81">
        <f>F94</f>
        <v>0</v>
      </c>
      <c r="I139" s="128"/>
      <c r="J139" s="297"/>
      <c r="K139" s="136"/>
      <c r="Q139" s="19" t="s">
        <v>241</v>
      </c>
      <c r="R139" s="17"/>
      <c r="S139" s="17"/>
      <c r="T139" s="17"/>
      <c r="U139" s="82"/>
      <c r="V139" s="82"/>
      <c r="W139" s="81">
        <f t="shared" si="12"/>
        <v>0</v>
      </c>
      <c r="X139" s="128"/>
      <c r="Y139" s="136"/>
      <c r="Z139" s="136"/>
    </row>
    <row r="140" spans="2:26" x14ac:dyDescent="0.15">
      <c r="B140" s="16" t="s">
        <v>144</v>
      </c>
      <c r="C140" s="17"/>
      <c r="D140" s="17"/>
      <c r="E140" s="17"/>
      <c r="F140" s="286"/>
      <c r="G140" s="286"/>
      <c r="H140" s="81">
        <f>F95</f>
        <v>0</v>
      </c>
      <c r="I140" s="128"/>
      <c r="J140" s="297"/>
      <c r="K140" s="136"/>
      <c r="Q140" s="19" t="s">
        <v>242</v>
      </c>
      <c r="R140" s="17"/>
      <c r="S140" s="17"/>
      <c r="T140" s="17"/>
      <c r="U140" s="82"/>
      <c r="V140" s="82"/>
      <c r="W140" s="81">
        <f t="shared" si="12"/>
        <v>0</v>
      </c>
      <c r="X140" s="128"/>
      <c r="Y140" s="136"/>
      <c r="Z140" s="136"/>
    </row>
    <row r="141" spans="2:26" x14ac:dyDescent="0.15">
      <c r="B141" s="16" t="s">
        <v>145</v>
      </c>
      <c r="C141" s="17"/>
      <c r="D141" s="17"/>
      <c r="E141" s="17"/>
      <c r="F141" s="286"/>
      <c r="G141" s="286"/>
      <c r="H141" s="81">
        <f>F96</f>
        <v>0</v>
      </c>
      <c r="I141" s="128"/>
      <c r="J141" s="297"/>
      <c r="K141" s="136"/>
      <c r="Q141" s="19" t="s">
        <v>243</v>
      </c>
      <c r="R141" s="17"/>
      <c r="S141" s="17"/>
      <c r="T141" s="17"/>
      <c r="U141" s="82"/>
      <c r="V141" s="82"/>
      <c r="W141" s="81">
        <f t="shared" si="12"/>
        <v>0</v>
      </c>
      <c r="X141" s="128"/>
      <c r="Y141" s="136"/>
      <c r="Z141" s="136"/>
    </row>
    <row r="142" spans="2:26" x14ac:dyDescent="0.15">
      <c r="B142" s="16" t="s">
        <v>146</v>
      </c>
      <c r="C142" s="17"/>
      <c r="D142" s="17"/>
      <c r="E142" s="17"/>
      <c r="F142" s="286"/>
      <c r="G142" s="286"/>
      <c r="H142" s="81">
        <f>F97</f>
        <v>0</v>
      </c>
      <c r="I142" s="129"/>
      <c r="J142" s="297"/>
      <c r="K142" s="136"/>
      <c r="Q142" s="19" t="s">
        <v>244</v>
      </c>
      <c r="R142" s="17"/>
      <c r="S142" s="17"/>
      <c r="T142" s="17"/>
      <c r="U142" s="82"/>
      <c r="V142" s="82"/>
      <c r="W142" s="81">
        <f t="shared" si="12"/>
        <v>0</v>
      </c>
      <c r="X142" s="128"/>
      <c r="Y142" s="136"/>
      <c r="Z142" s="136"/>
    </row>
    <row r="143" spans="2:26" x14ac:dyDescent="0.15">
      <c r="B143" s="27" t="s">
        <v>245</v>
      </c>
      <c r="C143" s="17"/>
      <c r="D143" s="17"/>
      <c r="E143" s="17"/>
      <c r="F143" s="17"/>
      <c r="G143" s="17"/>
      <c r="H143" s="28" t="s">
        <v>246</v>
      </c>
      <c r="I143" s="112">
        <f>ROUND(SUM(H138:H142),2)</f>
        <v>0</v>
      </c>
      <c r="J143" s="303"/>
      <c r="K143" s="116"/>
      <c r="Q143" s="19" t="s">
        <v>247</v>
      </c>
      <c r="R143" s="11"/>
      <c r="S143" s="11"/>
      <c r="T143" s="11"/>
      <c r="U143" s="91"/>
      <c r="V143" s="91"/>
      <c r="W143" s="81">
        <f t="shared" si="12"/>
        <v>0</v>
      </c>
      <c r="X143" s="128"/>
      <c r="Y143" s="136"/>
      <c r="Z143" s="136"/>
    </row>
    <row r="144" spans="2:26" x14ac:dyDescent="0.15">
      <c r="B144" s="27" t="s">
        <v>248</v>
      </c>
      <c r="C144" s="17"/>
      <c r="D144" s="17"/>
      <c r="E144" s="17"/>
      <c r="F144" s="17"/>
      <c r="G144" s="17"/>
      <c r="H144" s="28" t="s">
        <v>249</v>
      </c>
      <c r="I144" s="93">
        <f>SUM(I135,I143)</f>
        <v>0</v>
      </c>
      <c r="J144" s="304">
        <f>J135+J143</f>
        <v>0</v>
      </c>
      <c r="K144" s="115">
        <f>K135+K143</f>
        <v>0</v>
      </c>
      <c r="Q144" s="62" t="s">
        <v>235</v>
      </c>
      <c r="R144" s="11"/>
      <c r="S144" s="11"/>
      <c r="T144" s="11"/>
      <c r="U144" s="279"/>
      <c r="V144" s="279"/>
      <c r="W144" s="280" t="s">
        <v>236</v>
      </c>
      <c r="X144" s="92">
        <f>ROUND(SUM(W129:W143),2)</f>
        <v>0</v>
      </c>
      <c r="Y144" s="109">
        <f>D102</f>
        <v>0</v>
      </c>
      <c r="Z144" s="109">
        <f>D103</f>
        <v>0</v>
      </c>
    </row>
    <row r="145" spans="2:26" x14ac:dyDescent="0.15">
      <c r="B145" s="31" t="s">
        <v>250</v>
      </c>
      <c r="C145" s="32"/>
      <c r="D145" s="30"/>
      <c r="E145" s="30"/>
      <c r="F145" s="33"/>
      <c r="G145" s="33"/>
      <c r="H145" s="34" t="s">
        <v>251</v>
      </c>
      <c r="I145" s="72"/>
      <c r="Q145" s="62"/>
      <c r="R145" s="11"/>
      <c r="S145" s="11"/>
      <c r="T145" s="11"/>
      <c r="U145" s="279"/>
      <c r="V145" s="279"/>
      <c r="W145" s="281"/>
      <c r="X145" s="282"/>
      <c r="Y145" s="282"/>
      <c r="Z145" s="282"/>
    </row>
    <row r="146" spans="2:26" x14ac:dyDescent="0.15">
      <c r="B146" s="27"/>
      <c r="C146" s="17"/>
      <c r="D146" s="17"/>
      <c r="E146" s="17"/>
      <c r="F146" s="51"/>
      <c r="G146" s="51"/>
      <c r="H146" s="20"/>
      <c r="I146" s="18"/>
      <c r="Q146" s="6" t="s">
        <v>238</v>
      </c>
      <c r="R146" s="8"/>
      <c r="S146" s="8"/>
      <c r="T146" s="8"/>
      <c r="U146" s="283"/>
      <c r="V146" s="283"/>
      <c r="W146" s="284"/>
      <c r="X146" s="80"/>
      <c r="Y146" s="113"/>
      <c r="Z146" s="114"/>
    </row>
    <row r="147" spans="2:26" x14ac:dyDescent="0.15">
      <c r="B147" s="35" t="s">
        <v>252</v>
      </c>
      <c r="C147" s="36"/>
      <c r="D147" s="36"/>
      <c r="E147" s="36"/>
      <c r="F147" s="36"/>
      <c r="G147" s="36"/>
      <c r="H147" s="37"/>
      <c r="I147" s="94"/>
      <c r="J147" s="305"/>
      <c r="K147" s="39"/>
      <c r="Q147" s="29" t="s">
        <v>142</v>
      </c>
      <c r="R147" s="30"/>
      <c r="S147" s="30"/>
      <c r="T147" s="30"/>
      <c r="U147" s="285"/>
      <c r="V147" s="285"/>
      <c r="W147" s="81">
        <f>F93</f>
        <v>0</v>
      </c>
      <c r="X147" s="128"/>
      <c r="Y147" s="136"/>
      <c r="Z147" s="136"/>
    </row>
    <row r="148" spans="2:26" x14ac:dyDescent="0.15">
      <c r="B148" s="40" t="s">
        <v>253</v>
      </c>
      <c r="C148" s="41"/>
      <c r="D148" s="41"/>
      <c r="E148" s="41"/>
      <c r="F148" s="41"/>
      <c r="G148" s="41" t="s">
        <v>254</v>
      </c>
      <c r="H148" s="41"/>
      <c r="I148" s="41"/>
      <c r="K148" s="42"/>
      <c r="Q148" s="16" t="s">
        <v>143</v>
      </c>
      <c r="R148" s="17"/>
      <c r="S148" s="17"/>
      <c r="T148" s="17"/>
      <c r="U148" s="286"/>
      <c r="V148" s="286"/>
      <c r="W148" s="81">
        <f>F94</f>
        <v>0</v>
      </c>
      <c r="X148" s="128"/>
      <c r="Y148" s="136"/>
      <c r="Z148" s="136"/>
    </row>
    <row r="149" spans="2:26" x14ac:dyDescent="0.15">
      <c r="B149" s="40" t="s">
        <v>255</v>
      </c>
      <c r="C149" s="41"/>
      <c r="D149" s="41"/>
      <c r="E149" s="41"/>
      <c r="F149" s="41"/>
      <c r="G149" s="41" t="s">
        <v>256</v>
      </c>
      <c r="H149" s="41"/>
      <c r="I149" s="41"/>
      <c r="K149" s="42"/>
      <c r="Q149" s="16" t="s">
        <v>144</v>
      </c>
      <c r="R149" s="17"/>
      <c r="S149" s="17"/>
      <c r="T149" s="17"/>
      <c r="U149" s="286"/>
      <c r="V149" s="286"/>
      <c r="W149" s="81">
        <f>F95</f>
        <v>0</v>
      </c>
      <c r="X149" s="128"/>
      <c r="Y149" s="136"/>
      <c r="Z149" s="136"/>
    </row>
    <row r="150" spans="2:26" x14ac:dyDescent="0.15">
      <c r="B150" s="40" t="s">
        <v>257</v>
      </c>
      <c r="C150" s="41"/>
      <c r="D150" s="41"/>
      <c r="E150" s="41"/>
      <c r="F150" s="41"/>
      <c r="G150" s="41" t="s">
        <v>258</v>
      </c>
      <c r="H150" s="41"/>
      <c r="I150" s="41"/>
      <c r="K150" s="42"/>
      <c r="Q150" s="16" t="s">
        <v>145</v>
      </c>
      <c r="R150" s="17"/>
      <c r="S150" s="17"/>
      <c r="T150" s="17"/>
      <c r="U150" s="286"/>
      <c r="V150" s="286"/>
      <c r="W150" s="81">
        <f>F96</f>
        <v>0</v>
      </c>
      <c r="X150" s="128"/>
      <c r="Y150" s="136"/>
      <c r="Z150" s="136"/>
    </row>
    <row r="151" spans="2:26" x14ac:dyDescent="0.15">
      <c r="B151" s="40" t="s">
        <v>259</v>
      </c>
      <c r="C151" s="41"/>
      <c r="D151" s="41"/>
      <c r="E151" s="41"/>
      <c r="F151" s="41"/>
      <c r="G151" s="41"/>
      <c r="H151" s="41"/>
      <c r="I151" s="41"/>
      <c r="K151" s="42"/>
      <c r="Q151" s="16" t="s">
        <v>146</v>
      </c>
      <c r="R151" s="17"/>
      <c r="S151" s="17"/>
      <c r="T151" s="17"/>
      <c r="U151" s="286"/>
      <c r="V151" s="286"/>
      <c r="W151" s="81">
        <f>F97</f>
        <v>0</v>
      </c>
      <c r="X151" s="129"/>
      <c r="Y151" s="136"/>
      <c r="Z151" s="136"/>
    </row>
    <row r="152" spans="2:26" x14ac:dyDescent="0.15">
      <c r="B152" s="12"/>
      <c r="C152" s="43"/>
      <c r="D152" s="43"/>
      <c r="E152" s="43"/>
      <c r="F152" s="43"/>
      <c r="G152" s="43"/>
      <c r="H152" s="43"/>
      <c r="I152" s="43"/>
      <c r="K152" s="44"/>
      <c r="Q152" s="27" t="s">
        <v>245</v>
      </c>
      <c r="R152" s="17"/>
      <c r="S152" s="17"/>
      <c r="T152" s="17"/>
      <c r="U152" s="17"/>
      <c r="V152" s="17"/>
      <c r="W152" s="28" t="s">
        <v>246</v>
      </c>
      <c r="X152" s="112">
        <f>ROUND(SUM(W147:W151),2)</f>
        <v>0</v>
      </c>
      <c r="Y152" s="116"/>
      <c r="Z152" s="116"/>
    </row>
    <row r="153" spans="2:26" x14ac:dyDescent="0.15">
      <c r="B153" s="334"/>
      <c r="C153" s="335"/>
      <c r="D153" s="335"/>
      <c r="E153" s="185"/>
      <c r="F153" s="185"/>
      <c r="G153" s="333"/>
      <c r="H153" s="333"/>
      <c r="I153" s="333"/>
      <c r="K153" s="44"/>
      <c r="Q153" s="27" t="s">
        <v>248</v>
      </c>
      <c r="R153" s="17"/>
      <c r="S153" s="17"/>
      <c r="T153" s="17"/>
      <c r="U153" s="17"/>
      <c r="V153" s="17"/>
      <c r="W153" s="28" t="s">
        <v>249</v>
      </c>
      <c r="X153" s="93">
        <f>SUM(X144,X152)</f>
        <v>0</v>
      </c>
      <c r="Y153" s="115">
        <f>Y144+Y152</f>
        <v>0</v>
      </c>
      <c r="Z153" s="115">
        <f>Z144+Z152</f>
        <v>0</v>
      </c>
    </row>
    <row r="154" spans="2:26" x14ac:dyDescent="0.15">
      <c r="B154" s="12"/>
      <c r="C154" s="68" t="s">
        <v>260</v>
      </c>
      <c r="D154" s="43"/>
      <c r="E154" s="43"/>
      <c r="F154" s="43"/>
      <c r="G154" s="43"/>
      <c r="H154" s="68" t="s">
        <v>261</v>
      </c>
      <c r="I154" s="43"/>
      <c r="K154" s="44"/>
      <c r="Q154" s="31" t="s">
        <v>250</v>
      </c>
      <c r="R154" s="32"/>
      <c r="S154" s="30"/>
      <c r="T154" s="30"/>
      <c r="U154" s="33"/>
      <c r="V154" s="33"/>
      <c r="W154" s="34" t="s">
        <v>251</v>
      </c>
      <c r="X154" s="287">
        <f>I145</f>
        <v>0</v>
      </c>
      <c r="Y154" s="1"/>
    </row>
    <row r="155" spans="2:26" x14ac:dyDescent="0.15">
      <c r="B155" s="12"/>
      <c r="C155" s="43"/>
      <c r="D155" s="43"/>
      <c r="E155" s="43"/>
      <c r="F155" s="43"/>
      <c r="G155" s="43"/>
      <c r="H155" s="43"/>
      <c r="I155" s="43"/>
      <c r="K155" s="44"/>
    </row>
    <row r="156" spans="2:26" x14ac:dyDescent="0.15">
      <c r="B156" s="334"/>
      <c r="C156" s="335"/>
      <c r="D156" s="335"/>
      <c r="E156" s="185"/>
      <c r="F156" s="185"/>
      <c r="G156" s="336"/>
      <c r="H156" s="336"/>
      <c r="I156" s="336"/>
      <c r="K156" s="44"/>
    </row>
    <row r="157" spans="2:26" x14ac:dyDescent="0.15">
      <c r="B157" s="12"/>
      <c r="C157" s="67" t="s">
        <v>262</v>
      </c>
      <c r="D157" s="43"/>
      <c r="E157" s="43"/>
      <c r="F157" s="43"/>
      <c r="G157" s="43"/>
      <c r="H157" s="67" t="s">
        <v>262</v>
      </c>
      <c r="I157" s="43"/>
      <c r="K157" s="44"/>
    </row>
    <row r="158" spans="2:26" x14ac:dyDescent="0.15">
      <c r="B158" s="12"/>
      <c r="C158" s="43"/>
      <c r="D158" s="43"/>
      <c r="E158" s="43"/>
      <c r="F158" s="43"/>
      <c r="G158" s="43"/>
      <c r="H158" s="43"/>
      <c r="I158" s="43"/>
      <c r="J158" s="132"/>
      <c r="K158" s="44"/>
    </row>
    <row r="159" spans="2:26" ht="69" customHeight="1" x14ac:dyDescent="0.15">
      <c r="B159" s="360" t="s">
        <v>263</v>
      </c>
      <c r="C159" s="361"/>
      <c r="D159" s="43"/>
      <c r="E159" s="43"/>
      <c r="F159" s="43"/>
      <c r="G159" s="43"/>
      <c r="H159" s="43"/>
      <c r="I159" s="43"/>
      <c r="J159" s="132"/>
      <c r="K159" s="44"/>
    </row>
    <row r="160" spans="2:26" x14ac:dyDescent="0.15">
      <c r="B160" s="95" t="s">
        <v>264</v>
      </c>
      <c r="C160" s="43"/>
      <c r="D160" s="43"/>
      <c r="E160" s="43"/>
      <c r="F160" s="43"/>
      <c r="G160" s="43"/>
      <c r="H160" s="43"/>
      <c r="I160" s="43"/>
      <c r="J160" s="132"/>
      <c r="K160" s="44"/>
    </row>
    <row r="161" spans="2:11" x14ac:dyDescent="0.15">
      <c r="B161" s="32"/>
      <c r="C161" s="30"/>
      <c r="D161" s="30"/>
      <c r="E161" s="30"/>
      <c r="F161" s="30"/>
      <c r="G161" s="30"/>
      <c r="H161" s="30"/>
      <c r="I161" s="30"/>
      <c r="J161" s="306"/>
      <c r="K161" s="45"/>
    </row>
    <row r="164" spans="2:11" x14ac:dyDescent="0.15">
      <c r="B164" s="96" t="s">
        <v>265</v>
      </c>
    </row>
  </sheetData>
  <sheetProtection insertRows="0"/>
  <mergeCells count="58">
    <mergeCell ref="J112:K112"/>
    <mergeCell ref="J114:K114"/>
    <mergeCell ref="L85:O85"/>
    <mergeCell ref="L86:O86"/>
    <mergeCell ref="B81:E81"/>
    <mergeCell ref="L81:O81"/>
    <mergeCell ref="L82:O82"/>
    <mergeCell ref="L83:O83"/>
    <mergeCell ref="L84:O84"/>
    <mergeCell ref="B78:E78"/>
    <mergeCell ref="L78:O78"/>
    <mergeCell ref="B79:E79"/>
    <mergeCell ref="L79:O79"/>
    <mergeCell ref="B80:E80"/>
    <mergeCell ref="L80:O80"/>
    <mergeCell ref="L75:O75"/>
    <mergeCell ref="B76:E76"/>
    <mergeCell ref="L76:O76"/>
    <mergeCell ref="B77:E77"/>
    <mergeCell ref="L77:O77"/>
    <mergeCell ref="B156:D156"/>
    <mergeCell ref="G156:I156"/>
    <mergeCell ref="B159:C159"/>
    <mergeCell ref="B105:B106"/>
    <mergeCell ref="B84:E84"/>
    <mergeCell ref="B153:D153"/>
    <mergeCell ref="G153:I153"/>
    <mergeCell ref="C105:I106"/>
    <mergeCell ref="E101:I101"/>
    <mergeCell ref="E102:I102"/>
    <mergeCell ref="E103:I103"/>
    <mergeCell ref="G19:K19"/>
    <mergeCell ref="Q19:W19"/>
    <mergeCell ref="Z19:AF19"/>
    <mergeCell ref="B20:B37"/>
    <mergeCell ref="B73:E73"/>
    <mergeCell ref="L73:O73"/>
    <mergeCell ref="G40:K40"/>
    <mergeCell ref="Z40:AF40"/>
    <mergeCell ref="B41:B54"/>
    <mergeCell ref="B57:B66"/>
    <mergeCell ref="G70:K70"/>
    <mergeCell ref="B74:E74"/>
    <mergeCell ref="L74:O74"/>
    <mergeCell ref="B75:E75"/>
    <mergeCell ref="F3:J3"/>
    <mergeCell ref="B97:E97"/>
    <mergeCell ref="B85:E85"/>
    <mergeCell ref="B86:E86"/>
    <mergeCell ref="B93:E93"/>
    <mergeCell ref="B94:E94"/>
    <mergeCell ref="B95:E95"/>
    <mergeCell ref="B96:E96"/>
    <mergeCell ref="B82:E82"/>
    <mergeCell ref="B83:E83"/>
    <mergeCell ref="L71:O71"/>
    <mergeCell ref="B72:E72"/>
    <mergeCell ref="L72:O72"/>
  </mergeCells>
  <conditionalFormatting sqref="E21:E36 E42:E53 E58:E65">
    <cfRule type="expression" dxfId="49" priority="17">
      <formula>AND($F21&gt;0,$E21="")</formula>
    </cfRule>
  </conditionalFormatting>
  <conditionalFormatting sqref="G21:G36 G42:G53">
    <cfRule type="expression" dxfId="48" priority="19">
      <formula>AND($F21&gt;0,$G21="")</formula>
    </cfRule>
  </conditionalFormatting>
  <conditionalFormatting sqref="G72:G86">
    <cfRule type="expression" dxfId="47" priority="13">
      <formula>AND($F72&gt;0,$G72="")</formula>
    </cfRule>
  </conditionalFormatting>
  <conditionalFormatting sqref="H21:H36 H42:H53">
    <cfRule type="expression" dxfId="46" priority="16">
      <formula>AND($G21&lt;&gt;"",$H21&lt;1)</formula>
    </cfRule>
  </conditionalFormatting>
  <conditionalFormatting sqref="H72:H86">
    <cfRule type="expression" dxfId="45" priority="1">
      <formula>AND($G72&lt;&gt;"",$H72&lt;1)</formula>
    </cfRule>
  </conditionalFormatting>
  <conditionalFormatting sqref="H120:H128">
    <cfRule type="cellIs" dxfId="44" priority="23" stopIfTrue="1" operator="lessThan">
      <formula>0</formula>
    </cfRule>
  </conditionalFormatting>
  <conditionalFormatting sqref="I21:I36 I42:I53">
    <cfRule type="expression" dxfId="43" priority="18">
      <formula>AND($H21&gt;0,$H21&lt;100,$I21="")</formula>
    </cfRule>
  </conditionalFormatting>
  <conditionalFormatting sqref="I72:I86">
    <cfRule type="expression" dxfId="42" priority="12">
      <formula>AND($H72&gt;0,$H72&lt;100,$I72="")</formula>
    </cfRule>
  </conditionalFormatting>
  <conditionalFormatting sqref="I135:I144 F116:H118 G129">
    <cfRule type="cellIs" dxfId="41" priority="33" stopIfTrue="1" operator="lessThan">
      <formula>0</formula>
    </cfRule>
  </conditionalFormatting>
  <conditionalFormatting sqref="I136:K136 H146:I146">
    <cfRule type="containsText" dxfId="40" priority="29" operator="containsText" text="TRUE">
      <formula>NOT(ISERROR(SEARCH("TRUE",H136)))</formula>
    </cfRule>
    <cfRule type="containsText" dxfId="39" priority="28" operator="containsText" text="FALSE">
      <formula>NOT(ISERROR(SEARCH("FALSE",H136)))</formula>
    </cfRule>
  </conditionalFormatting>
  <conditionalFormatting sqref="J145:J146">
    <cfRule type="containsText" dxfId="38" priority="31" operator="containsText" text="OKAY">
      <formula>NOT(ISERROR(SEARCH("OKAY",J145)))</formula>
    </cfRule>
    <cfRule type="containsText" dxfId="37" priority="30" operator="containsText" text="ERROR">
      <formula>NOT(ISERROR(SEARCH("ERROR",J145)))</formula>
    </cfRule>
  </conditionalFormatting>
  <conditionalFormatting sqref="J116:K118">
    <cfRule type="cellIs" dxfId="36" priority="27" stopIfTrue="1" operator="lessThan">
      <formula>0</formula>
    </cfRule>
  </conditionalFormatting>
  <conditionalFormatting sqref="J120:K128">
    <cfRule type="cellIs" dxfId="35" priority="26" stopIfTrue="1" operator="lessThan">
      <formula>0</formula>
    </cfRule>
  </conditionalFormatting>
  <conditionalFormatting sqref="J130:K136 H130:H134">
    <cfRule type="cellIs" dxfId="34" priority="32" stopIfTrue="1" operator="lessThan">
      <formula>0</formula>
    </cfRule>
  </conditionalFormatting>
  <conditionalFormatting sqref="J138:K144">
    <cfRule type="cellIs" dxfId="33" priority="25" stopIfTrue="1" operator="lessThan">
      <formula>0</formula>
    </cfRule>
  </conditionalFormatting>
  <conditionalFormatting sqref="L93:O94 K93:K97">
    <cfRule type="containsText" dxfId="32" priority="22" operator="containsText" text="error">
      <formula>NOT(ISERROR(SEARCH("error",K93)))</formula>
    </cfRule>
  </conditionalFormatting>
  <conditionalFormatting sqref="W120:W128">
    <cfRule type="cellIs" dxfId="31" priority="8" stopIfTrue="1" operator="lessThan">
      <formula>0</formula>
    </cfRule>
  </conditionalFormatting>
  <conditionalFormatting sqref="X144:X153 U116:W118 U120:V122 V129">
    <cfRule type="cellIs" dxfId="30" priority="9" stopIfTrue="1" operator="lessThan">
      <formula>0</formula>
    </cfRule>
  </conditionalFormatting>
  <conditionalFormatting sqref="X145:Z145">
    <cfRule type="containsText" dxfId="29" priority="5" operator="containsText" text="FALSE">
      <formula>NOT(ISERROR(SEARCH("FALSE",X145)))</formula>
    </cfRule>
  </conditionalFormatting>
  <conditionalFormatting sqref="Y154">
    <cfRule type="containsText" dxfId="28" priority="6" operator="containsText" text="ERROR">
      <formula>NOT(ISERROR(SEARCH("ERROR",Y154)))</formula>
    </cfRule>
    <cfRule type="containsText" dxfId="27" priority="7" operator="containsText" text="OKAY">
      <formula>NOT(ISERROR(SEARCH("OKAY",Y154)))</formula>
    </cfRule>
  </conditionalFormatting>
  <conditionalFormatting sqref="Y116:Z118">
    <cfRule type="cellIs" dxfId="26" priority="4" stopIfTrue="1" operator="lessThan">
      <formula>0</formula>
    </cfRule>
  </conditionalFormatting>
  <conditionalFormatting sqref="Y120:Z128">
    <cfRule type="cellIs" dxfId="25" priority="3" stopIfTrue="1" operator="lessThan">
      <formula>0</formula>
    </cfRule>
  </conditionalFormatting>
  <conditionalFormatting sqref="Y130:Z145 F120:G122 W130:W143">
    <cfRule type="cellIs" dxfId="24" priority="24" stopIfTrue="1" operator="lessThan">
      <formula>0</formula>
    </cfRule>
  </conditionalFormatting>
  <conditionalFormatting sqref="Y147:Z153">
    <cfRule type="cellIs" dxfId="23" priority="2" stopIfTrue="1" operator="lessThan">
      <formula>0</formula>
    </cfRule>
  </conditionalFormatting>
  <conditionalFormatting sqref="AH21:AH37 AH42:AH54">
    <cfRule type="containsText" dxfId="22" priority="21" stopIfTrue="1" operator="containsText" text="TRUE">
      <formula>NOT(ISERROR(SEARCH("TRUE",AH21)))</formula>
    </cfRule>
    <cfRule type="containsText" dxfId="21" priority="20" operator="containsText" text="FALSE">
      <formula>NOT(ISERROR(SEARCH("FALSE",AH21)))</formula>
    </cfRule>
  </conditionalFormatting>
  <conditionalFormatting sqref="AH72:AH86">
    <cfRule type="containsText" dxfId="20" priority="11" stopIfTrue="1" operator="containsText" text="TRUE">
      <formula>NOT(ISERROR(SEARCH("TRUE",AH72)))</formula>
    </cfRule>
    <cfRule type="containsText" dxfId="19" priority="10" operator="containsText" text="FALSE">
      <formula>NOT(ISERROR(SEARCH("FALSE",AH72)))</formula>
    </cfRule>
  </conditionalFormatting>
  <dataValidations xWindow="1080" yWindow="377" count="9">
    <dataValidation type="list" allowBlank="1" showInputMessage="1" showErrorMessage="1" sqref="B72:B86 C72:E75 C86:E86" xr:uid="{A903124D-3E99-3948-ADC9-DEF9559D97B4}">
      <formula1>INDIRECT("NonSalary[NonSalary Items]")</formula1>
    </dataValidation>
    <dataValidation type="list" allowBlank="1" showInputMessage="1" showErrorMessage="1" sqref="B93:E97" xr:uid="{6D4A3301-5F59-D047-93B1-115635B4CC16}">
      <formula1>INDIRECT("ICR[Indirect Cost Items]")</formula1>
    </dataValidation>
    <dataValidation type="list" allowBlank="1" showInputMessage="1" showErrorMessage="1" sqref="E8" xr:uid="{70EED9FB-A642-674A-87AF-F54DF0BE76E2}">
      <formula1>INDIRECT("InstituteTable[Institute]")</formula1>
    </dataValidation>
    <dataValidation type="list" allowBlank="1" showInputMessage="1" showErrorMessage="1" sqref="E42:E54" xr:uid="{04579A74-10DE-0A46-98D9-9F97A0FD41C3}">
      <formula1>INDIRECT("NonStudentRole[NonStudentRole]")</formula1>
    </dataValidation>
    <dataValidation type="decimal" allowBlank="1" showInputMessage="1" showErrorMessage="1" error="Must be between 0 and 100" prompt="Input fraction of time spent on main project (FTE in %)" sqref="H21:H37 H72:H86 H42:H54" xr:uid="{CC72E853-A53C-104A-AF70-DDCF7A50BE39}">
      <formula1>0</formula1>
      <formula2>100</formula2>
    </dataValidation>
    <dataValidation type="list" allowBlank="1" showInputMessage="1" showErrorMessage="1" sqref="E21:E37" xr:uid="{CCA07E43-0FFD-B24B-A931-66D19AE38A54}">
      <formula1>INDIRECT("StudentRole[StudentRole]")</formula1>
    </dataValidation>
    <dataValidation type="list" allowBlank="1" showInputMessage="1" showErrorMessage="1" sqref="G21:G37 I21:I37 G72:G86 I72:I86 I42:I54 G42:G54" xr:uid="{84272FDE-4F63-094D-8FC4-AE04435EC619}">
      <formula1>INDIRECT("TableProject[Project Nature]")</formula1>
    </dataValidation>
    <dataValidation type="list" allowBlank="1" showInputMessage="1" showErrorMessage="1" sqref="E40 E98:E100 E107 E109:E110 T110" xr:uid="{E91CA00C-5C7A-CD49-89E4-C2203FAFF454}">
      <formula1>INDIRECT("TableRole[HQPRole]")</formula1>
    </dataValidation>
    <dataValidation type="list" allowBlank="1" showInputMessage="1" showErrorMessage="1" sqref="E58:E66" xr:uid="{7BB283C2-CAB4-484D-BE3D-94848AFAC63C}">
      <formula1>INDIRECT("IPDCRole[NonStudentRole_IPDC]")</formula1>
    </dataValidation>
  </dataValidations>
  <hyperlinks>
    <hyperlink ref="B160" r:id="rId1" xr:uid="{4AD08CC8-E701-0044-B944-5438E5FAA357}"/>
    <hyperlink ref="B164" r:id="rId2" display="https://www.rsf-fsr.gc.ca/administer-administrer/expenditures-depenses-eng.aspx" xr:uid="{74689C04-E9C3-084C-9EB9-ECE429E50D37}"/>
  </hyperlinks>
  <pageMargins left="0.25" right="0.25" top="0.75" bottom="0.75" header="0.3" footer="0.3"/>
  <pageSetup scale="28" orientation="portrait" horizontalDpi="1200" verticalDpi="1200" r:id="rId3"/>
  <drawing r:id="rId4"/>
  <tableParts count="3">
    <tablePart r:id="rId5"/>
    <tablePart r:id="rId6"/>
    <tablePart r:id="rId7"/>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85CFB-CD12-4DE3-A98A-8395582B7222}">
  <sheetPr codeName="Sheet47"/>
  <dimension ref="E12:E13"/>
  <sheetViews>
    <sheetView workbookViewId="0">
      <selection activeCell="F17" sqref="F17"/>
    </sheetView>
  </sheetViews>
  <sheetFormatPr baseColWidth="10" defaultColWidth="8.83203125" defaultRowHeight="14" x14ac:dyDescent="0.15"/>
  <sheetData>
    <row r="12" spans="5:5" x14ac:dyDescent="0.15">
      <c r="E12" s="107"/>
    </row>
    <row r="13" spans="5:5" x14ac:dyDescent="0.15">
      <c r="E13" s="107"/>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afae969-4493-45b3-ba4e-98a5f1a2f2e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28E63979EFF5646BD0C31259758F0DF" ma:contentTypeVersion="11" ma:contentTypeDescription="Create a new document." ma:contentTypeScope="" ma:versionID="f78824b3f38d0cf640a813f3b31abd28">
  <xsd:schema xmlns:xsd="http://www.w3.org/2001/XMLSchema" xmlns:xs="http://www.w3.org/2001/XMLSchema" xmlns:p="http://schemas.microsoft.com/office/2006/metadata/properties" xmlns:ns2="5afae969-4493-45b3-ba4e-98a5f1a2f2e0" targetNamespace="http://schemas.microsoft.com/office/2006/metadata/properties" ma:root="true" ma:fieldsID="61899e607e712c9bfeff92627e1534a5" ns2:_="">
    <xsd:import namespace="5afae969-4493-45b3-ba4e-98a5f1a2f2e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fae969-4493-45b3-ba4e-98a5f1a2f2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cbd2e69d-a885-47d9-a849-8bc90acf94ca"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5858F8A-7D07-45A4-94AC-68C5D01163A8}">
  <ds:schemaRefs>
    <ds:schemaRef ds:uri="http://schemas.microsoft.com/sharepoint/v3/contenttype/forms"/>
  </ds:schemaRefs>
</ds:datastoreItem>
</file>

<file path=customXml/itemProps2.xml><?xml version="1.0" encoding="utf-8"?>
<ds:datastoreItem xmlns:ds="http://schemas.openxmlformats.org/officeDocument/2006/customXml" ds:itemID="{23F1D525-5C32-4AF1-9206-7A499F72017F}">
  <ds:schemaRefs>
    <ds:schemaRef ds:uri="http://www.w3.org/XML/1998/namespace"/>
    <ds:schemaRef ds:uri="http://schemas.microsoft.com/office/2006/metadata/properties"/>
    <ds:schemaRef ds:uri="http://schemas.openxmlformats.org/package/2006/metadata/core-properties"/>
    <ds:schemaRef ds:uri="http://schemas.microsoft.com/office/2006/documentManagement/types"/>
    <ds:schemaRef ds:uri="http://purl.org/dc/terms/"/>
    <ds:schemaRef ds:uri="http://purl.org/dc/dcmitype/"/>
    <ds:schemaRef ds:uri="http://purl.org/dc/elements/1.1/"/>
    <ds:schemaRef ds:uri="http://schemas.microsoft.com/office/infopath/2007/PartnerControls"/>
    <ds:schemaRef ds:uri="5afae969-4493-45b3-ba4e-98a5f1a2f2e0"/>
  </ds:schemaRefs>
</ds:datastoreItem>
</file>

<file path=customXml/itemProps3.xml><?xml version="1.0" encoding="utf-8"?>
<ds:datastoreItem xmlns:ds="http://schemas.openxmlformats.org/officeDocument/2006/customXml" ds:itemID="{BF5CFE54-EB9C-494C-85A9-8370932194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fae969-4493-45b3-ba4e-98a5f1a2f2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Dropdown</vt:lpstr>
      <vt:lpstr>Template</vt:lpstr>
      <vt:lpstr>Instructions</vt:lpstr>
      <vt:lpstr>Summary - Graphs</vt:lpstr>
      <vt:lpstr>Summary - All Years</vt:lpstr>
      <vt:lpstr>Start</vt:lpstr>
      <vt:lpstr>YY-YY Q#</vt:lpstr>
      <vt:lpstr>Stop</vt:lpstr>
      <vt:lpstr>'Summary - All Years'!Print_Area</vt:lpstr>
      <vt:lpstr>Template!Print_Area</vt:lpstr>
      <vt:lpstr>'YY-YY Q#'!Print_Area</vt:lpstr>
    </vt:vector>
  </TitlesOfParts>
  <Manager/>
  <Company>Queen's University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Nicholas Grona</dc:creator>
  <cp:keywords/>
  <dc:description/>
  <cp:lastModifiedBy>Mark Richardson</cp:lastModifiedBy>
  <cp:revision/>
  <dcterms:created xsi:type="dcterms:W3CDTF">2024-12-06T17:08:50Z</dcterms:created>
  <dcterms:modified xsi:type="dcterms:W3CDTF">2026-01-20T20:38:19Z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0x010100B28E63979EFF5646BD0C31259758F0DF</vt:lpwstr>
  </property>
  <property fmtid="{D5CDD505-2E9C-101B-9397-08002B2CF9AE}" pid="3" name="Order">
    <vt:r8>75200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_SourceUrl">
    <vt:lpwstr/>
  </property>
  <property fmtid="{D5CDD505-2E9C-101B-9397-08002B2CF9AE}" pid="9" name="_SharedFileIndex">
    <vt:lpwstr/>
  </property>
  <property fmtid="{D5CDD505-2E9C-101B-9397-08002B2CF9AE}" pid="10" name="ComplianceAssetId">
    <vt:lpwstr/>
  </property>
  <property fmtid="{D5CDD505-2E9C-101B-9397-08002B2CF9AE}" pid="11" name="TemplateUrl">
    <vt:lpwstr/>
  </property>
  <property fmtid="{D5CDD505-2E9C-101B-9397-08002B2CF9AE}" pid="12" name="MediaServiceImageTags">
    <vt:lpwstr/>
  </property>
</Properties>
</file>